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E:\"/>
    </mc:Choice>
  </mc:AlternateContent>
  <xr:revisionPtr revIDLastSave="0" documentId="8_{E10B0ED1-105A-495E-8B3C-F532CBA38117}" xr6:coauthVersionLast="47" xr6:coauthVersionMax="47" xr10:uidLastSave="{00000000-0000-0000-0000-000000000000}"/>
  <bookViews>
    <workbookView xWindow="-120" yWindow="-120" windowWidth="20730" windowHeight="11160" xr2:uid="{5AA38311-1E55-490F-9092-40E33AC514F0}"/>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6" i="1" l="1"/>
  <c r="K536" i="1"/>
  <c r="P536" i="1" s="1"/>
  <c r="P535" i="1"/>
  <c r="N535" i="1"/>
  <c r="P534" i="1"/>
  <c r="N534" i="1"/>
  <c r="P533" i="1"/>
  <c r="N533" i="1"/>
  <c r="P532" i="1"/>
  <c r="N532" i="1"/>
  <c r="M531" i="1"/>
  <c r="K531" i="1"/>
  <c r="P531" i="1" s="1"/>
  <c r="P530" i="1"/>
  <c r="N530" i="1"/>
  <c r="P529" i="1"/>
  <c r="N529" i="1"/>
  <c r="P528" i="1"/>
  <c r="N528" i="1"/>
  <c r="P527" i="1"/>
  <c r="N527" i="1"/>
  <c r="P526" i="1"/>
  <c r="N526" i="1"/>
  <c r="P525" i="1"/>
  <c r="N525" i="1"/>
  <c r="P524" i="1"/>
  <c r="N524" i="1"/>
  <c r="P523" i="1"/>
  <c r="N523" i="1"/>
  <c r="P522" i="1"/>
  <c r="N522" i="1"/>
  <c r="P521" i="1"/>
  <c r="N521" i="1"/>
  <c r="P520" i="1"/>
  <c r="N520" i="1"/>
  <c r="P519" i="1"/>
  <c r="N519" i="1"/>
  <c r="P518" i="1"/>
  <c r="M518" i="1"/>
  <c r="K518" i="1"/>
  <c r="N518" i="1" s="1"/>
  <c r="M517" i="1"/>
  <c r="K517" i="1"/>
  <c r="P517" i="1" s="1"/>
  <c r="M516" i="1"/>
  <c r="K516" i="1"/>
  <c r="P516" i="1" s="1"/>
  <c r="P515" i="1"/>
  <c r="N515" i="1"/>
  <c r="P514" i="1"/>
  <c r="N514" i="1"/>
  <c r="M513" i="1"/>
  <c r="L513" i="1"/>
  <c r="K513" i="1"/>
  <c r="P513" i="1" s="1"/>
  <c r="M512" i="1"/>
  <c r="L512" i="1"/>
  <c r="P512" i="1" s="1"/>
  <c r="K512" i="1"/>
  <c r="N512" i="1" s="1"/>
  <c r="M511" i="1"/>
  <c r="L511" i="1"/>
  <c r="K511" i="1"/>
  <c r="P511" i="1" s="1"/>
  <c r="M510" i="1"/>
  <c r="L510" i="1"/>
  <c r="K510" i="1"/>
  <c r="N510" i="1" s="1"/>
  <c r="P509" i="1"/>
  <c r="N509" i="1"/>
  <c r="P508" i="1"/>
  <c r="N508" i="1"/>
  <c r="P507" i="1"/>
  <c r="N507" i="1"/>
  <c r="P506" i="1"/>
  <c r="M506" i="1"/>
  <c r="K506" i="1"/>
  <c r="N506" i="1" s="1"/>
  <c r="K505" i="1"/>
  <c r="P505" i="1" s="1"/>
  <c r="K504" i="1"/>
  <c r="P504" i="1" s="1"/>
  <c r="K503" i="1"/>
  <c r="P503" i="1" s="1"/>
  <c r="K502" i="1"/>
  <c r="N502" i="1" s="1"/>
  <c r="K501" i="1"/>
  <c r="P501" i="1" s="1"/>
  <c r="K500" i="1"/>
  <c r="P500" i="1" s="1"/>
  <c r="P499" i="1"/>
  <c r="N499" i="1"/>
  <c r="P498" i="1"/>
  <c r="N498" i="1"/>
  <c r="K498" i="1"/>
  <c r="K497" i="1"/>
  <c r="P497" i="1" s="1"/>
  <c r="P496" i="1"/>
  <c r="N496" i="1"/>
  <c r="P495" i="1"/>
  <c r="N495" i="1"/>
  <c r="P494" i="1"/>
  <c r="N494" i="1"/>
  <c r="P493" i="1"/>
  <c r="N493" i="1"/>
  <c r="P492" i="1"/>
  <c r="N492" i="1"/>
  <c r="P491" i="1"/>
  <c r="N491" i="1"/>
  <c r="P490" i="1"/>
  <c r="N490" i="1"/>
  <c r="P489" i="1"/>
  <c r="N489" i="1"/>
  <c r="P488" i="1"/>
  <c r="N488" i="1"/>
  <c r="P487" i="1"/>
  <c r="N487" i="1"/>
  <c r="P486" i="1"/>
  <c r="N486" i="1"/>
  <c r="P485" i="1"/>
  <c r="N485" i="1"/>
  <c r="P484" i="1"/>
  <c r="N484" i="1"/>
  <c r="P483" i="1"/>
  <c r="N483" i="1"/>
  <c r="P482" i="1"/>
  <c r="N482" i="1"/>
  <c r="P481" i="1"/>
  <c r="N481" i="1"/>
  <c r="M480" i="1"/>
  <c r="K480" i="1"/>
  <c r="P480" i="1" s="1"/>
  <c r="P479" i="1"/>
  <c r="N479" i="1"/>
  <c r="P478" i="1"/>
  <c r="N478" i="1"/>
  <c r="M478" i="1"/>
  <c r="K478" i="1"/>
  <c r="P477" i="1"/>
  <c r="M477" i="1"/>
  <c r="K477" i="1"/>
  <c r="N477" i="1" s="1"/>
  <c r="M476" i="1"/>
  <c r="N476" i="1" s="1"/>
  <c r="L476" i="1"/>
  <c r="K476" i="1"/>
  <c r="P476" i="1" s="1"/>
  <c r="P475" i="1"/>
  <c r="N475" i="1"/>
  <c r="P474" i="1"/>
  <c r="N474" i="1"/>
  <c r="M473" i="1"/>
  <c r="N473" i="1" s="1"/>
  <c r="K473" i="1"/>
  <c r="P472" i="1"/>
  <c r="N472" i="1"/>
  <c r="M472" i="1"/>
  <c r="K472" i="1"/>
  <c r="P471" i="1"/>
  <c r="N471" i="1"/>
  <c r="P470" i="1"/>
  <c r="N470" i="1"/>
  <c r="P469" i="1"/>
  <c r="N469" i="1"/>
  <c r="P468" i="1"/>
  <c r="N468" i="1"/>
  <c r="P467" i="1"/>
  <c r="N467" i="1"/>
  <c r="P466" i="1"/>
  <c r="N466" i="1"/>
  <c r="P465" i="1"/>
  <c r="N465" i="1"/>
  <c r="P464" i="1"/>
  <c r="N464" i="1"/>
  <c r="P463" i="1"/>
  <c r="N463" i="1"/>
  <c r="P462" i="1"/>
  <c r="N462" i="1"/>
  <c r="P461" i="1"/>
  <c r="N461" i="1"/>
  <c r="P460" i="1"/>
  <c r="N460" i="1"/>
  <c r="P459" i="1"/>
  <c r="N459" i="1"/>
  <c r="P458" i="1"/>
  <c r="N458" i="1"/>
  <c r="P457" i="1"/>
  <c r="N457" i="1"/>
  <c r="P456" i="1"/>
  <c r="N456" i="1"/>
  <c r="P455" i="1"/>
  <c r="N455" i="1"/>
  <c r="P454" i="1"/>
  <c r="N454" i="1"/>
  <c r="P453" i="1"/>
  <c r="N453" i="1"/>
  <c r="P452" i="1"/>
  <c r="N452" i="1"/>
  <c r="P451" i="1"/>
  <c r="N451" i="1"/>
  <c r="P450" i="1"/>
  <c r="N450" i="1"/>
  <c r="P449" i="1"/>
  <c r="N449" i="1"/>
  <c r="P448" i="1"/>
  <c r="N448" i="1"/>
  <c r="P447" i="1"/>
  <c r="N447" i="1"/>
  <c r="P446" i="1"/>
  <c r="N446" i="1"/>
  <c r="P445" i="1"/>
  <c r="N445" i="1"/>
  <c r="P444" i="1"/>
  <c r="N444" i="1"/>
  <c r="P443" i="1"/>
  <c r="N443" i="1"/>
  <c r="P442" i="1"/>
  <c r="N442" i="1"/>
  <c r="M441" i="1"/>
  <c r="K441" i="1"/>
  <c r="P441" i="1" s="1"/>
  <c r="M440" i="1"/>
  <c r="N440" i="1" s="1"/>
  <c r="K440" i="1"/>
  <c r="P439" i="1"/>
  <c r="N439" i="1"/>
  <c r="P438" i="1"/>
  <c r="N438" i="1"/>
  <c r="P437" i="1"/>
  <c r="N437" i="1"/>
  <c r="P436" i="1"/>
  <c r="N436" i="1"/>
  <c r="P435" i="1"/>
  <c r="N435" i="1"/>
  <c r="P434" i="1"/>
  <c r="N434" i="1"/>
  <c r="P433" i="1"/>
  <c r="N433" i="1"/>
  <c r="P432" i="1"/>
  <c r="N432" i="1"/>
  <c r="P431" i="1"/>
  <c r="N431" i="1"/>
  <c r="P430" i="1"/>
  <c r="N430" i="1"/>
  <c r="M429" i="1"/>
  <c r="N429" i="1" s="1"/>
  <c r="K429" i="1"/>
  <c r="P428" i="1"/>
  <c r="N428" i="1"/>
  <c r="P427" i="1"/>
  <c r="N427" i="1"/>
  <c r="P426" i="1"/>
  <c r="N426" i="1"/>
  <c r="N425" i="1"/>
  <c r="M425" i="1"/>
  <c r="K425" i="1"/>
  <c r="P425" i="1" s="1"/>
  <c r="P424" i="1"/>
  <c r="N424" i="1"/>
  <c r="P423" i="1"/>
  <c r="N423" i="1"/>
  <c r="P422" i="1"/>
  <c r="N422" i="1"/>
  <c r="M422" i="1"/>
  <c r="K422" i="1"/>
  <c r="P421" i="1"/>
  <c r="N421" i="1"/>
  <c r="P420" i="1"/>
  <c r="N420" i="1"/>
  <c r="P419" i="1"/>
  <c r="N419" i="1"/>
  <c r="P418" i="1"/>
  <c r="N418" i="1"/>
  <c r="P417" i="1"/>
  <c r="N417" i="1"/>
  <c r="M417" i="1"/>
  <c r="K417" i="1"/>
  <c r="P416" i="1"/>
  <c r="N416" i="1"/>
  <c r="P415" i="1"/>
  <c r="N415" i="1"/>
  <c r="P414" i="1"/>
  <c r="N414" i="1"/>
  <c r="P413" i="1"/>
  <c r="N413" i="1"/>
  <c r="P412" i="1"/>
  <c r="N412" i="1"/>
  <c r="P411" i="1"/>
  <c r="N411" i="1"/>
  <c r="P410" i="1"/>
  <c r="N410" i="1"/>
  <c r="P409" i="1"/>
  <c r="N409" i="1"/>
  <c r="M408" i="1"/>
  <c r="K408" i="1"/>
  <c r="P408" i="1" s="1"/>
  <c r="P407" i="1"/>
  <c r="N407" i="1"/>
  <c r="M407" i="1"/>
  <c r="K407" i="1"/>
  <c r="N406" i="1"/>
  <c r="K406" i="1"/>
  <c r="P406" i="1" s="1"/>
  <c r="M405" i="1"/>
  <c r="K405" i="1"/>
  <c r="P405" i="1" s="1"/>
  <c r="P404" i="1"/>
  <c r="N404" i="1"/>
  <c r="M404" i="1"/>
  <c r="K404" i="1"/>
  <c r="M403" i="1"/>
  <c r="N403" i="1" s="1"/>
  <c r="L403" i="1"/>
  <c r="K403" i="1"/>
  <c r="P403" i="1" s="1"/>
  <c r="P402" i="1"/>
  <c r="N402" i="1"/>
  <c r="P401" i="1"/>
  <c r="N401" i="1"/>
  <c r="M401" i="1"/>
  <c r="K401" i="1"/>
  <c r="M400" i="1"/>
  <c r="K400" i="1"/>
  <c r="P400" i="1" s="1"/>
  <c r="P399" i="1"/>
  <c r="N399" i="1"/>
  <c r="M398" i="1"/>
  <c r="K398" i="1"/>
  <c r="P398" i="1" s="1"/>
  <c r="P397" i="1"/>
  <c r="N397" i="1"/>
  <c r="P396" i="1"/>
  <c r="N396" i="1"/>
  <c r="P395" i="1"/>
  <c r="N395" i="1"/>
  <c r="P394" i="1"/>
  <c r="N394" i="1"/>
  <c r="P393" i="1"/>
  <c r="N393" i="1"/>
  <c r="P392" i="1"/>
  <c r="N392" i="1"/>
  <c r="P391" i="1"/>
  <c r="N391" i="1"/>
  <c r="P390" i="1"/>
  <c r="N390" i="1"/>
  <c r="N389" i="1"/>
  <c r="M389" i="1"/>
  <c r="K389" i="1"/>
  <c r="P389" i="1" s="1"/>
  <c r="M388" i="1"/>
  <c r="K388" i="1"/>
  <c r="P388" i="1" s="1"/>
  <c r="P387" i="1"/>
  <c r="N387" i="1"/>
  <c r="M387" i="1"/>
  <c r="L387" i="1"/>
  <c r="K387" i="1"/>
  <c r="P386" i="1"/>
  <c r="M386" i="1"/>
  <c r="K386" i="1"/>
  <c r="N386" i="1" s="1"/>
  <c r="M385" i="1"/>
  <c r="N385" i="1" s="1"/>
  <c r="K385" i="1"/>
  <c r="P385" i="1" s="1"/>
  <c r="P384" i="1"/>
  <c r="M384" i="1"/>
  <c r="K384" i="1"/>
  <c r="N384" i="1" s="1"/>
  <c r="P383" i="1"/>
  <c r="M383" i="1"/>
  <c r="K383" i="1"/>
  <c r="N383" i="1" s="1"/>
  <c r="M382" i="1"/>
  <c r="N382" i="1" s="1"/>
  <c r="K382" i="1"/>
  <c r="P382" i="1" s="1"/>
  <c r="P381" i="1"/>
  <c r="M381" i="1"/>
  <c r="K381" i="1"/>
  <c r="N381" i="1" s="1"/>
  <c r="P380" i="1"/>
  <c r="N380" i="1"/>
  <c r="P379" i="1"/>
  <c r="N379" i="1"/>
  <c r="P378" i="1"/>
  <c r="N378" i="1"/>
  <c r="P377" i="1"/>
  <c r="N377" i="1"/>
  <c r="P376" i="1"/>
  <c r="N376" i="1"/>
  <c r="P375" i="1"/>
  <c r="N375" i="1"/>
  <c r="P374" i="1"/>
  <c r="N374" i="1"/>
  <c r="P373" i="1"/>
  <c r="N373" i="1"/>
  <c r="P372" i="1"/>
  <c r="N372" i="1"/>
  <c r="P371" i="1"/>
  <c r="N371" i="1"/>
  <c r="P370" i="1"/>
  <c r="N370" i="1"/>
  <c r="P369" i="1"/>
  <c r="N369" i="1"/>
  <c r="P368" i="1"/>
  <c r="M368" i="1"/>
  <c r="K368" i="1"/>
  <c r="N368" i="1" s="1"/>
  <c r="M367" i="1"/>
  <c r="N367" i="1" s="1"/>
  <c r="K367" i="1"/>
  <c r="P367" i="1" s="1"/>
  <c r="P366" i="1"/>
  <c r="N366" i="1"/>
  <c r="P365" i="1"/>
  <c r="N365" i="1"/>
  <c r="P364" i="1"/>
  <c r="M364" i="1"/>
  <c r="K364" i="1"/>
  <c r="N364" i="1" s="1"/>
  <c r="M363" i="1"/>
  <c r="N363" i="1" s="1"/>
  <c r="K363" i="1"/>
  <c r="P363" i="1" s="1"/>
  <c r="P362" i="1"/>
  <c r="M362" i="1"/>
  <c r="N362" i="1" s="1"/>
  <c r="K362" i="1"/>
  <c r="P361" i="1"/>
  <c r="M361" i="1"/>
  <c r="K361" i="1"/>
  <c r="N361" i="1" s="1"/>
  <c r="M360" i="1"/>
  <c r="N360" i="1" s="1"/>
  <c r="K360" i="1"/>
  <c r="P360" i="1" s="1"/>
  <c r="P359" i="1"/>
  <c r="N359" i="1"/>
  <c r="M359" i="1"/>
  <c r="K359" i="1"/>
  <c r="P358" i="1"/>
  <c r="M358" i="1"/>
  <c r="K358" i="1"/>
  <c r="N358" i="1" s="1"/>
  <c r="P357" i="1"/>
  <c r="N357" i="1"/>
  <c r="P356" i="1"/>
  <c r="M356" i="1"/>
  <c r="N356" i="1" s="1"/>
  <c r="K356" i="1"/>
  <c r="P355" i="1"/>
  <c r="N355" i="1"/>
  <c r="P354" i="1"/>
  <c r="N354" i="1"/>
  <c r="P353" i="1"/>
  <c r="N353" i="1"/>
  <c r="P352" i="1"/>
  <c r="N352" i="1"/>
  <c r="P351" i="1"/>
  <c r="N351" i="1"/>
  <c r="P350" i="1"/>
  <c r="N350" i="1"/>
  <c r="P349" i="1"/>
  <c r="N349" i="1"/>
  <c r="P348" i="1"/>
  <c r="N348" i="1"/>
  <c r="P347" i="1"/>
  <c r="N347" i="1"/>
  <c r="P346" i="1"/>
  <c r="N346" i="1"/>
  <c r="P345" i="1"/>
  <c r="N345" i="1"/>
  <c r="P344" i="1"/>
  <c r="N344" i="1"/>
  <c r="P343" i="1"/>
  <c r="N343" i="1"/>
  <c r="P342" i="1"/>
  <c r="N342" i="1"/>
  <c r="P341" i="1"/>
  <c r="N341" i="1"/>
  <c r="P340" i="1"/>
  <c r="N340" i="1"/>
  <c r="P339" i="1"/>
  <c r="N339" i="1"/>
  <c r="P338" i="1"/>
  <c r="N338" i="1"/>
  <c r="P337" i="1"/>
  <c r="N337" i="1"/>
  <c r="P336" i="1"/>
  <c r="N336" i="1"/>
  <c r="P335" i="1"/>
  <c r="N335" i="1"/>
  <c r="P334" i="1"/>
  <c r="N334" i="1"/>
  <c r="P333" i="1"/>
  <c r="N333" i="1"/>
  <c r="P332" i="1"/>
  <c r="N332" i="1"/>
  <c r="P331" i="1"/>
  <c r="N331" i="1"/>
  <c r="P330" i="1"/>
  <c r="N330" i="1"/>
  <c r="P329" i="1"/>
  <c r="N329" i="1"/>
  <c r="P328" i="1"/>
  <c r="N328" i="1"/>
  <c r="P327" i="1"/>
  <c r="N327" i="1"/>
  <c r="P326" i="1"/>
  <c r="N326" i="1"/>
  <c r="P325" i="1"/>
  <c r="N325" i="1"/>
  <c r="P324" i="1"/>
  <c r="N324" i="1"/>
  <c r="P323" i="1"/>
  <c r="N323" i="1"/>
  <c r="P322" i="1"/>
  <c r="N322" i="1"/>
  <c r="P321" i="1"/>
  <c r="N321" i="1"/>
  <c r="P320" i="1"/>
  <c r="N320" i="1"/>
  <c r="P319" i="1"/>
  <c r="N319" i="1"/>
  <c r="P318" i="1"/>
  <c r="N318" i="1"/>
  <c r="P317" i="1"/>
  <c r="N317" i="1"/>
  <c r="M316" i="1"/>
  <c r="N316" i="1" s="1"/>
  <c r="L316" i="1"/>
  <c r="K316" i="1"/>
  <c r="P316" i="1" s="1"/>
  <c r="P315" i="1"/>
  <c r="N315" i="1"/>
  <c r="P314" i="1"/>
  <c r="N314" i="1"/>
  <c r="P313" i="1"/>
  <c r="N313" i="1"/>
  <c r="P312" i="1"/>
  <c r="N312" i="1"/>
  <c r="P311" i="1"/>
  <c r="N311" i="1"/>
  <c r="N310" i="1"/>
  <c r="M310" i="1"/>
  <c r="K310" i="1"/>
  <c r="P310" i="1" s="1"/>
  <c r="P309" i="1"/>
  <c r="N309" i="1"/>
  <c r="M309" i="1"/>
  <c r="K309" i="1"/>
  <c r="P308" i="1"/>
  <c r="N308" i="1"/>
  <c r="P307" i="1"/>
  <c r="N307" i="1"/>
  <c r="M307" i="1"/>
  <c r="K307" i="1"/>
  <c r="M306" i="1"/>
  <c r="K306" i="1"/>
  <c r="P306" i="1" s="1"/>
  <c r="K305" i="1"/>
  <c r="N305" i="1" s="1"/>
  <c r="M304" i="1"/>
  <c r="P304" i="1" s="1"/>
  <c r="K304" i="1"/>
  <c r="M303" i="1"/>
  <c r="L303" i="1"/>
  <c r="K303" i="1"/>
  <c r="P303" i="1" s="1"/>
  <c r="P302" i="1"/>
  <c r="N302" i="1"/>
  <c r="P301" i="1"/>
  <c r="N301" i="1"/>
  <c r="P300" i="1"/>
  <c r="N300" i="1"/>
  <c r="P299" i="1"/>
  <c r="N299" i="1"/>
  <c r="M298" i="1"/>
  <c r="K298" i="1"/>
  <c r="P298" i="1" s="1"/>
  <c r="P297" i="1"/>
  <c r="N297" i="1"/>
  <c r="P296" i="1"/>
  <c r="N296" i="1"/>
  <c r="P295" i="1"/>
  <c r="N295" i="1"/>
  <c r="P294" i="1"/>
  <c r="N294" i="1"/>
  <c r="P293" i="1"/>
  <c r="N293" i="1"/>
  <c r="P292" i="1"/>
  <c r="N292" i="1"/>
  <c r="M292" i="1"/>
  <c r="K292" i="1"/>
  <c r="P291" i="1"/>
  <c r="N291" i="1"/>
  <c r="P290" i="1"/>
  <c r="N290" i="1"/>
  <c r="P289" i="1"/>
  <c r="N289" i="1"/>
  <c r="P288" i="1"/>
  <c r="N288" i="1"/>
  <c r="P287" i="1"/>
  <c r="N287" i="1"/>
  <c r="P286" i="1"/>
  <c r="N286" i="1"/>
  <c r="P285" i="1"/>
  <c r="N285" i="1"/>
  <c r="P284" i="1"/>
  <c r="N284" i="1"/>
  <c r="P283" i="1"/>
  <c r="N283" i="1"/>
  <c r="P282" i="1"/>
  <c r="N282" i="1"/>
  <c r="P281" i="1"/>
  <c r="N281" i="1"/>
  <c r="P280" i="1"/>
  <c r="N280" i="1"/>
  <c r="P279" i="1"/>
  <c r="N279" i="1"/>
  <c r="P278" i="1"/>
  <c r="N278" i="1"/>
  <c r="P277" i="1"/>
  <c r="N277" i="1"/>
  <c r="P276" i="1"/>
  <c r="N276" i="1"/>
  <c r="P275" i="1"/>
  <c r="N275" i="1"/>
  <c r="P274" i="1"/>
  <c r="N274" i="1"/>
  <c r="P273" i="1"/>
  <c r="N273" i="1"/>
  <c r="P272" i="1"/>
  <c r="N272" i="1"/>
  <c r="P271" i="1"/>
  <c r="N271" i="1"/>
  <c r="P270" i="1"/>
  <c r="N270" i="1"/>
  <c r="P269" i="1"/>
  <c r="N269" i="1"/>
  <c r="P268" i="1"/>
  <c r="N268" i="1"/>
  <c r="M267" i="1"/>
  <c r="K267" i="1"/>
  <c r="P267" i="1" s="1"/>
  <c r="P266" i="1"/>
  <c r="N266" i="1"/>
  <c r="P265" i="1"/>
  <c r="N265" i="1"/>
  <c r="P264" i="1"/>
  <c r="N264" i="1"/>
  <c r="P263" i="1"/>
  <c r="N263" i="1"/>
  <c r="P262" i="1"/>
  <c r="N262" i="1"/>
  <c r="P261" i="1"/>
  <c r="N261" i="1"/>
  <c r="P260" i="1"/>
  <c r="N260" i="1"/>
  <c r="P259" i="1"/>
  <c r="N259" i="1"/>
  <c r="P258" i="1"/>
  <c r="N258" i="1"/>
  <c r="P257" i="1"/>
  <c r="N257" i="1"/>
  <c r="P256" i="1"/>
  <c r="N256" i="1"/>
  <c r="P255" i="1"/>
  <c r="N255" i="1"/>
  <c r="P254" i="1"/>
  <c r="N254" i="1"/>
  <c r="P253" i="1"/>
  <c r="N253" i="1"/>
  <c r="P252" i="1"/>
  <c r="N252" i="1"/>
  <c r="P251" i="1"/>
  <c r="N251" i="1"/>
  <c r="P250" i="1"/>
  <c r="N250" i="1"/>
  <c r="P249" i="1"/>
  <c r="N249" i="1"/>
  <c r="P248" i="1"/>
  <c r="N248" i="1"/>
  <c r="P247" i="1"/>
  <c r="N247" i="1"/>
  <c r="P246" i="1"/>
  <c r="N246" i="1"/>
  <c r="M245" i="1"/>
  <c r="K245" i="1"/>
  <c r="N245" i="1" s="1"/>
  <c r="P244" i="1"/>
  <c r="N244" i="1"/>
  <c r="M244" i="1"/>
  <c r="K244" i="1"/>
  <c r="P243" i="1"/>
  <c r="N243" i="1"/>
  <c r="P242" i="1"/>
  <c r="N242" i="1"/>
  <c r="P241" i="1"/>
  <c r="N241" i="1"/>
  <c r="P240" i="1"/>
  <c r="N240" i="1"/>
  <c r="P239" i="1"/>
  <c r="N239" i="1"/>
  <c r="P238" i="1"/>
  <c r="N238" i="1"/>
  <c r="P237" i="1"/>
  <c r="N237" i="1"/>
  <c r="P236" i="1"/>
  <c r="N236" i="1"/>
  <c r="P235" i="1"/>
  <c r="N235" i="1"/>
  <c r="P234" i="1"/>
  <c r="N234" i="1"/>
  <c r="P233" i="1"/>
  <c r="N233" i="1"/>
  <c r="P232" i="1"/>
  <c r="N232" i="1"/>
  <c r="M231" i="1"/>
  <c r="K231" i="1"/>
  <c r="P231" i="1" s="1"/>
  <c r="M230" i="1"/>
  <c r="N230" i="1" s="1"/>
  <c r="K230" i="1"/>
  <c r="P229" i="1"/>
  <c r="N229" i="1"/>
  <c r="M229" i="1"/>
  <c r="K229" i="1"/>
  <c r="M228" i="1"/>
  <c r="K228" i="1"/>
  <c r="P228" i="1" s="1"/>
  <c r="M227" i="1"/>
  <c r="N227" i="1" s="1"/>
  <c r="K227" i="1"/>
  <c r="P226" i="1"/>
  <c r="N226" i="1"/>
  <c r="M226" i="1"/>
  <c r="K226" i="1"/>
  <c r="M225" i="1"/>
  <c r="K225" i="1"/>
  <c r="P225" i="1" s="1"/>
  <c r="P224" i="1"/>
  <c r="N224" i="1"/>
  <c r="M224" i="1"/>
  <c r="K224" i="1"/>
  <c r="P223" i="1"/>
  <c r="N223" i="1"/>
  <c r="M223" i="1"/>
  <c r="L223" i="1"/>
  <c r="K223" i="1"/>
  <c r="M222" i="1"/>
  <c r="K222" i="1"/>
  <c r="P222" i="1" s="1"/>
  <c r="M221" i="1"/>
  <c r="L221" i="1"/>
  <c r="K221" i="1"/>
  <c r="P221" i="1" s="1"/>
  <c r="P220" i="1"/>
  <c r="N220" i="1"/>
  <c r="P219" i="1"/>
  <c r="N219" i="1"/>
  <c r="N218" i="1"/>
  <c r="K218" i="1"/>
  <c r="P218" i="1" s="1"/>
  <c r="P217" i="1"/>
  <c r="N217" i="1"/>
  <c r="K217" i="1"/>
  <c r="P216" i="1"/>
  <c r="N216" i="1"/>
  <c r="P215" i="1"/>
  <c r="N215" i="1"/>
  <c r="P214" i="1"/>
  <c r="N214" i="1"/>
  <c r="N213" i="1"/>
  <c r="M213" i="1"/>
  <c r="K213" i="1"/>
  <c r="P213" i="1" s="1"/>
  <c r="P212" i="1"/>
  <c r="N212" i="1"/>
  <c r="P211" i="1"/>
  <c r="N211" i="1"/>
  <c r="P210" i="1"/>
  <c r="N210" i="1"/>
  <c r="P209" i="1"/>
  <c r="N209" i="1"/>
  <c r="P208" i="1"/>
  <c r="N208" i="1"/>
  <c r="P207" i="1"/>
  <c r="N207" i="1"/>
  <c r="P206" i="1"/>
  <c r="N206" i="1"/>
  <c r="P205" i="1"/>
  <c r="N205" i="1"/>
  <c r="P204" i="1"/>
  <c r="N204" i="1"/>
  <c r="P203" i="1"/>
  <c r="N203" i="1"/>
  <c r="P202" i="1"/>
  <c r="N202" i="1"/>
  <c r="P201" i="1"/>
  <c r="N201" i="1"/>
  <c r="P200" i="1"/>
  <c r="N200" i="1"/>
  <c r="P199" i="1"/>
  <c r="N199" i="1"/>
  <c r="P198" i="1"/>
  <c r="N198" i="1"/>
  <c r="P197" i="1"/>
  <c r="N197" i="1"/>
  <c r="P196" i="1"/>
  <c r="N196" i="1"/>
  <c r="P195" i="1"/>
  <c r="N195" i="1"/>
  <c r="P194" i="1"/>
  <c r="N194" i="1"/>
  <c r="P193" i="1"/>
  <c r="N193" i="1"/>
  <c r="M193" i="1"/>
  <c r="K193" i="1"/>
  <c r="P192" i="1"/>
  <c r="N192" i="1"/>
  <c r="P191" i="1"/>
  <c r="N191" i="1"/>
  <c r="P190" i="1"/>
  <c r="N190" i="1"/>
  <c r="P189" i="1"/>
  <c r="N189" i="1"/>
  <c r="P188" i="1"/>
  <c r="N188" i="1"/>
  <c r="N187" i="1"/>
  <c r="M187" i="1"/>
  <c r="P187" i="1" s="1"/>
  <c r="K187" i="1"/>
  <c r="N186" i="1"/>
  <c r="M186" i="1"/>
  <c r="P186" i="1" s="1"/>
  <c r="P185" i="1"/>
  <c r="N185" i="1"/>
  <c r="P184" i="1"/>
  <c r="N184" i="1"/>
  <c r="P183" i="1"/>
  <c r="N183" i="1"/>
  <c r="M182" i="1"/>
  <c r="L182" i="1"/>
  <c r="K182" i="1"/>
  <c r="P182" i="1" s="1"/>
  <c r="M181" i="1"/>
  <c r="L181" i="1"/>
  <c r="K181" i="1"/>
  <c r="N181" i="1" s="1"/>
  <c r="P180" i="1"/>
  <c r="M180" i="1"/>
  <c r="K180" i="1"/>
  <c r="N180" i="1" s="1"/>
  <c r="P179" i="1"/>
  <c r="N179" i="1"/>
  <c r="P178" i="1"/>
  <c r="M178" i="1"/>
  <c r="K178" i="1"/>
  <c r="N178" i="1" s="1"/>
  <c r="P177" i="1"/>
  <c r="N177" i="1"/>
  <c r="P176" i="1"/>
  <c r="N176" i="1"/>
  <c r="P175" i="1"/>
  <c r="N175" i="1"/>
  <c r="P174" i="1"/>
  <c r="N174" i="1"/>
  <c r="P173" i="1"/>
  <c r="N173" i="1"/>
  <c r="P172" i="1"/>
  <c r="N172" i="1"/>
  <c r="M171" i="1"/>
  <c r="N171" i="1" s="1"/>
  <c r="K171" i="1"/>
  <c r="P171" i="1" s="1"/>
  <c r="P170" i="1"/>
  <c r="M170" i="1"/>
  <c r="K170" i="1"/>
  <c r="N170" i="1" s="1"/>
  <c r="P169" i="1"/>
  <c r="M169" i="1"/>
  <c r="K169" i="1"/>
  <c r="N169" i="1" s="1"/>
  <c r="M168" i="1"/>
  <c r="N168" i="1" s="1"/>
  <c r="K168" i="1"/>
  <c r="P168" i="1" s="1"/>
  <c r="P167" i="1"/>
  <c r="M167" i="1"/>
  <c r="K167" i="1"/>
  <c r="N167" i="1" s="1"/>
  <c r="P166" i="1"/>
  <c r="M166" i="1"/>
  <c r="K166" i="1"/>
  <c r="N166" i="1" s="1"/>
  <c r="M165" i="1"/>
  <c r="N165" i="1" s="1"/>
  <c r="K165" i="1"/>
  <c r="P165" i="1" s="1"/>
  <c r="M164" i="1"/>
  <c r="L164" i="1"/>
  <c r="K164" i="1"/>
  <c r="P164" i="1" s="1"/>
  <c r="M163" i="1"/>
  <c r="K163" i="1"/>
  <c r="N163" i="1" s="1"/>
  <c r="P162" i="1"/>
  <c r="N162" i="1"/>
  <c r="P161" i="1"/>
  <c r="N161" i="1"/>
  <c r="P160" i="1"/>
  <c r="N160" i="1"/>
  <c r="P159" i="1"/>
  <c r="N159" i="1"/>
  <c r="P158" i="1"/>
  <c r="N158" i="1"/>
  <c r="P157" i="1"/>
  <c r="N157" i="1"/>
  <c r="P156" i="1"/>
  <c r="N156" i="1"/>
  <c r="M156" i="1"/>
  <c r="K156" i="1"/>
  <c r="M155" i="1"/>
  <c r="K155" i="1"/>
  <c r="P155" i="1" s="1"/>
  <c r="P154" i="1"/>
  <c r="N154" i="1"/>
  <c r="M153" i="1"/>
  <c r="K153" i="1"/>
  <c r="P153" i="1" s="1"/>
  <c r="P152" i="1"/>
  <c r="N152" i="1"/>
  <c r="M152" i="1"/>
  <c r="K152" i="1"/>
  <c r="P151" i="1"/>
  <c r="N151" i="1"/>
  <c r="P150" i="1"/>
  <c r="N150" i="1"/>
  <c r="P149" i="1"/>
  <c r="N149" i="1"/>
  <c r="P148" i="1"/>
  <c r="N148" i="1"/>
  <c r="P147" i="1"/>
  <c r="N147" i="1"/>
  <c r="P146" i="1"/>
  <c r="N146" i="1"/>
  <c r="P145" i="1"/>
  <c r="N145" i="1"/>
  <c r="P144" i="1"/>
  <c r="N144" i="1"/>
  <c r="M144" i="1"/>
  <c r="K144" i="1"/>
  <c r="P143" i="1"/>
  <c r="N143" i="1"/>
  <c r="P142" i="1"/>
  <c r="N142" i="1"/>
  <c r="P141" i="1"/>
  <c r="N141" i="1"/>
  <c r="P140" i="1"/>
  <c r="N140" i="1"/>
  <c r="P139" i="1"/>
  <c r="N139" i="1"/>
  <c r="M138" i="1"/>
  <c r="K138" i="1"/>
  <c r="P138" i="1" s="1"/>
  <c r="P137" i="1"/>
  <c r="N137" i="1"/>
  <c r="M137" i="1"/>
  <c r="L137" i="1"/>
  <c r="K137" i="1"/>
  <c r="P136" i="1"/>
  <c r="N136" i="1"/>
  <c r="P135" i="1"/>
  <c r="N135" i="1"/>
  <c r="P134" i="1"/>
  <c r="N134" i="1"/>
  <c r="P133" i="1"/>
  <c r="N133" i="1"/>
  <c r="P132" i="1"/>
  <c r="N132" i="1"/>
  <c r="P131" i="1"/>
  <c r="N131" i="1"/>
  <c r="P130" i="1"/>
  <c r="N130" i="1"/>
  <c r="P129" i="1"/>
  <c r="N129" i="1"/>
  <c r="P128" i="1"/>
  <c r="N128" i="1"/>
  <c r="P127" i="1"/>
  <c r="N127" i="1"/>
  <c r="P126" i="1"/>
  <c r="N126" i="1"/>
  <c r="P125" i="1"/>
  <c r="N125" i="1"/>
  <c r="P124" i="1"/>
  <c r="N124" i="1"/>
  <c r="P123" i="1"/>
  <c r="N123" i="1"/>
  <c r="P122" i="1"/>
  <c r="N122" i="1"/>
  <c r="P121" i="1"/>
  <c r="N121" i="1"/>
  <c r="P120" i="1"/>
  <c r="N120" i="1"/>
  <c r="P119" i="1"/>
  <c r="N119" i="1"/>
  <c r="P118" i="1"/>
  <c r="N118" i="1"/>
  <c r="P117" i="1"/>
  <c r="N117" i="1"/>
  <c r="P116" i="1"/>
  <c r="N116" i="1"/>
  <c r="P115" i="1"/>
  <c r="N115" i="1"/>
  <c r="P114" i="1"/>
  <c r="N114" i="1"/>
  <c r="P113" i="1"/>
  <c r="N113" i="1"/>
  <c r="P112" i="1"/>
  <c r="N112" i="1"/>
  <c r="P111" i="1"/>
  <c r="N111" i="1"/>
  <c r="P110" i="1"/>
  <c r="N110" i="1"/>
  <c r="P109" i="1"/>
  <c r="N109" i="1"/>
  <c r="P108" i="1"/>
  <c r="N108" i="1"/>
  <c r="P107" i="1"/>
  <c r="N107" i="1"/>
  <c r="P106" i="1"/>
  <c r="N106" i="1"/>
  <c r="P105" i="1"/>
  <c r="N105" i="1"/>
  <c r="P104" i="1"/>
  <c r="N104" i="1"/>
  <c r="P103" i="1"/>
  <c r="N103" i="1"/>
  <c r="P102" i="1"/>
  <c r="N102" i="1"/>
  <c r="P101" i="1"/>
  <c r="N101" i="1"/>
  <c r="P100" i="1"/>
  <c r="N100" i="1"/>
  <c r="P99" i="1"/>
  <c r="N99" i="1"/>
  <c r="P98" i="1"/>
  <c r="N98" i="1"/>
  <c r="P97" i="1"/>
  <c r="K97" i="1"/>
  <c r="N97" i="1" s="1"/>
  <c r="P96" i="1"/>
  <c r="N96" i="1"/>
  <c r="N95" i="1"/>
  <c r="M95" i="1"/>
  <c r="K95" i="1"/>
  <c r="P95" i="1" s="1"/>
  <c r="M94" i="1"/>
  <c r="K94" i="1"/>
  <c r="P94" i="1" s="1"/>
  <c r="P93" i="1"/>
  <c r="N93" i="1"/>
  <c r="M93" i="1"/>
  <c r="K93" i="1"/>
  <c r="P92" i="1"/>
  <c r="N92" i="1"/>
  <c r="P91" i="1"/>
  <c r="N91" i="1"/>
  <c r="P90" i="1"/>
  <c r="N90" i="1"/>
  <c r="P89" i="1"/>
  <c r="N89" i="1"/>
  <c r="P88" i="1"/>
  <c r="N88" i="1"/>
  <c r="P87" i="1"/>
  <c r="N87" i="1"/>
  <c r="N86" i="1"/>
  <c r="M86" i="1"/>
  <c r="K86" i="1"/>
  <c r="P86" i="1" s="1"/>
  <c r="P85" i="1"/>
  <c r="N85" i="1"/>
  <c r="P84" i="1"/>
  <c r="N84" i="1"/>
  <c r="P83" i="1"/>
  <c r="N83" i="1"/>
  <c r="P82" i="1"/>
  <c r="N82" i="1"/>
  <c r="P81" i="1"/>
  <c r="N81" i="1"/>
  <c r="P80" i="1"/>
  <c r="N80" i="1"/>
  <c r="P79" i="1"/>
  <c r="N79" i="1"/>
  <c r="P78" i="1"/>
  <c r="N78" i="1"/>
  <c r="P77" i="1"/>
  <c r="N77" i="1"/>
  <c r="M77" i="1"/>
  <c r="K77" i="1"/>
  <c r="P76" i="1"/>
  <c r="N76" i="1"/>
  <c r="M76" i="1"/>
  <c r="K76" i="1"/>
  <c r="M75" i="1"/>
  <c r="K75" i="1"/>
  <c r="P75" i="1" s="1"/>
  <c r="P74" i="1"/>
  <c r="N74" i="1"/>
  <c r="P73" i="1"/>
  <c r="N73" i="1"/>
  <c r="P72" i="1"/>
  <c r="N72" i="1"/>
  <c r="P71" i="1"/>
  <c r="M71" i="1"/>
  <c r="K71" i="1"/>
  <c r="N71" i="1" s="1"/>
  <c r="M70" i="1"/>
  <c r="N70" i="1" s="1"/>
  <c r="K70" i="1"/>
  <c r="P70" i="1" s="1"/>
  <c r="P69" i="1"/>
  <c r="M69" i="1"/>
  <c r="K69" i="1"/>
  <c r="N69" i="1" s="1"/>
  <c r="P68" i="1"/>
  <c r="M68" i="1"/>
  <c r="L68" i="1"/>
  <c r="K68" i="1"/>
  <c r="N68" i="1" s="1"/>
  <c r="P67" i="1"/>
  <c r="N67" i="1"/>
  <c r="M67" i="1"/>
  <c r="K67" i="1"/>
  <c r="M66" i="1"/>
  <c r="K66" i="1"/>
  <c r="P66" i="1" s="1"/>
  <c r="P65" i="1"/>
  <c r="N65" i="1"/>
  <c r="P64" i="1"/>
  <c r="N64" i="1"/>
  <c r="P63" i="1"/>
  <c r="N63" i="1"/>
  <c r="P62" i="1"/>
  <c r="N62" i="1"/>
  <c r="P61" i="1"/>
  <c r="N61" i="1"/>
  <c r="P60" i="1"/>
  <c r="N60" i="1"/>
  <c r="P59" i="1"/>
  <c r="N59" i="1"/>
  <c r="P58" i="1"/>
  <c r="N58" i="1"/>
  <c r="P57" i="1"/>
  <c r="N57" i="1"/>
  <c r="P56" i="1"/>
  <c r="N56" i="1"/>
  <c r="P55" i="1"/>
  <c r="N55" i="1"/>
  <c r="P54" i="1"/>
  <c r="N54" i="1"/>
  <c r="P53" i="1"/>
  <c r="N53" i="1"/>
  <c r="P52" i="1"/>
  <c r="N52" i="1"/>
  <c r="P51" i="1"/>
  <c r="N51" i="1"/>
  <c r="M51" i="1"/>
  <c r="L51" i="1"/>
  <c r="K51" i="1"/>
  <c r="P50" i="1"/>
  <c r="N50" i="1"/>
  <c r="P49" i="1"/>
  <c r="N49" i="1"/>
  <c r="K48" i="1"/>
  <c r="P48" i="1" s="1"/>
  <c r="P47" i="1"/>
  <c r="N47" i="1"/>
  <c r="P46" i="1"/>
  <c r="N46" i="1"/>
  <c r="P45" i="1"/>
  <c r="N45" i="1"/>
  <c r="P44" i="1"/>
  <c r="N44" i="1"/>
  <c r="P43" i="1"/>
  <c r="N43" i="1"/>
  <c r="P42" i="1"/>
  <c r="N42" i="1"/>
  <c r="P41" i="1"/>
  <c r="N41" i="1"/>
  <c r="P40" i="1"/>
  <c r="N40" i="1"/>
  <c r="P39" i="1"/>
  <c r="N39" i="1"/>
  <c r="P38" i="1"/>
  <c r="N38" i="1"/>
  <c r="M37" i="1"/>
  <c r="K37" i="1"/>
  <c r="N37" i="1" s="1"/>
  <c r="P36" i="1"/>
  <c r="N36" i="1"/>
  <c r="M36" i="1"/>
  <c r="P35" i="1"/>
  <c r="N35" i="1"/>
  <c r="P34" i="1"/>
  <c r="N34" i="1"/>
  <c r="P33" i="1"/>
  <c r="N33" i="1"/>
  <c r="M32" i="1"/>
  <c r="K32" i="1"/>
  <c r="P32" i="1" s="1"/>
  <c r="P31" i="1"/>
  <c r="M31" i="1"/>
  <c r="N31" i="1" s="1"/>
  <c r="K31" i="1"/>
  <c r="M30" i="1"/>
  <c r="P30" i="1" s="1"/>
  <c r="K30" i="1"/>
  <c r="M29" i="1"/>
  <c r="K29" i="1"/>
  <c r="P29" i="1" s="1"/>
  <c r="P28" i="1"/>
  <c r="N28" i="1"/>
  <c r="P27" i="1"/>
  <c r="N27" i="1"/>
  <c r="P26" i="1"/>
  <c r="N26" i="1"/>
  <c r="P25" i="1"/>
  <c r="N25" i="1"/>
  <c r="P24" i="1"/>
  <c r="N24" i="1"/>
  <c r="P23" i="1"/>
  <c r="N23" i="1"/>
  <c r="P22" i="1"/>
  <c r="N22" i="1"/>
  <c r="P21" i="1"/>
  <c r="N21" i="1"/>
  <c r="P20" i="1"/>
  <c r="N20" i="1"/>
  <c r="P19" i="1"/>
  <c r="N19" i="1"/>
  <c r="P18" i="1"/>
  <c r="N18" i="1"/>
  <c r="P17" i="1"/>
  <c r="N17" i="1"/>
  <c r="P16" i="1"/>
  <c r="N16" i="1"/>
  <c r="P15" i="1"/>
  <c r="N15" i="1"/>
  <c r="P14" i="1"/>
  <c r="N14" i="1"/>
  <c r="P37" i="1" l="1"/>
  <c r="P163" i="1"/>
  <c r="P181" i="1"/>
  <c r="P227" i="1"/>
  <c r="P230" i="1"/>
  <c r="P245" i="1"/>
  <c r="P305" i="1"/>
  <c r="P429" i="1"/>
  <c r="P440" i="1"/>
  <c r="P473" i="1"/>
  <c r="P502" i="1"/>
  <c r="P510" i="1"/>
  <c r="N30" i="1"/>
  <c r="N222" i="1"/>
  <c r="N503" i="1"/>
  <c r="N513" i="1"/>
  <c r="N517" i="1"/>
  <c r="N66" i="1"/>
  <c r="N155" i="1"/>
  <c r="N225" i="1"/>
  <c r="N228" i="1"/>
  <c r="N231" i="1"/>
  <c r="N298" i="1"/>
  <c r="N306" i="1"/>
  <c r="N400" i="1"/>
  <c r="N441" i="1"/>
  <c r="N164" i="1"/>
  <c r="N182" i="1"/>
  <c r="N303" i="1"/>
  <c r="N511" i="1"/>
  <c r="N500" i="1"/>
  <c r="N504" i="1"/>
  <c r="N304" i="1"/>
  <c r="N501" i="1"/>
  <c r="N505" i="1"/>
  <c r="N94" i="1"/>
  <c r="N138" i="1"/>
  <c r="N153" i="1"/>
  <c r="N267" i="1"/>
  <c r="N388" i="1"/>
  <c r="N398" i="1"/>
  <c r="N408" i="1"/>
  <c r="N497" i="1"/>
  <c r="N29" i="1"/>
  <c r="N32" i="1"/>
  <c r="N48" i="1"/>
  <c r="N221" i="1"/>
  <c r="N405" i="1"/>
  <c r="N480" i="1"/>
  <c r="N516" i="1"/>
  <c r="N531" i="1"/>
  <c r="N536" i="1"/>
</calcChain>
</file>

<file path=xl/sharedStrings.xml><?xml version="1.0" encoding="utf-8"?>
<sst xmlns="http://schemas.openxmlformats.org/spreadsheetml/2006/main" count="4032" uniqueCount="1393">
  <si>
    <t>REPUBLIC OF THE PHILIPPINES</t>
  </si>
  <si>
    <t xml:space="preserve"> CITY OF ORMOC</t>
  </si>
  <si>
    <t>OFFICE OF THE CITY TREASURER</t>
  </si>
  <si>
    <t>Notice of Auction Sale of Delinquent Real Properties</t>
  </si>
  <si>
    <t xml:space="preserve">Pursuant to Section 260 of Republic Act No. 7160 ( Local Government Code of 1991), the undersigned hereby gives notice to the public that we will conduct an auction sale of delinquent real </t>
  </si>
  <si>
    <r>
      <t>properties on</t>
    </r>
    <r>
      <rPr>
        <b/>
        <sz val="10"/>
        <rFont val="Arial Unicode MS"/>
      </rPr>
      <t xml:space="preserve"> JUNE 23, 2023 </t>
    </r>
    <r>
      <rPr>
        <sz val="10"/>
        <rFont val="Arial Unicode MS"/>
        <family val="2"/>
      </rPr>
      <t xml:space="preserve">at </t>
    </r>
    <r>
      <rPr>
        <b/>
        <sz val="10"/>
        <rFont val="Arial Unicode MS"/>
      </rPr>
      <t>9:00  o'clock in the morning</t>
    </r>
    <r>
      <rPr>
        <sz val="10"/>
        <rFont val="Arial Unicode MS"/>
        <family val="2"/>
      </rPr>
      <t xml:space="preserve">. The auction will be held at </t>
    </r>
    <r>
      <rPr>
        <b/>
        <sz val="10"/>
        <rFont val="Arial Unicode MS"/>
      </rPr>
      <t>2nd floor of New Cityhall, Multi-purpose hall.</t>
    </r>
  </si>
  <si>
    <t>No.</t>
  </si>
  <si>
    <t>Declared Owner</t>
  </si>
  <si>
    <t>TD/ARP NO</t>
  </si>
  <si>
    <t>CCT/TCT/ CADASTRAL</t>
  </si>
  <si>
    <t>Location</t>
  </si>
  <si>
    <t>PIN</t>
  </si>
  <si>
    <t>CLASS</t>
  </si>
  <si>
    <t>ASSESSED VALUE</t>
  </si>
  <si>
    <t>AREA IN SQ. M.</t>
  </si>
  <si>
    <t>PERIOD OF DELINQUENCY</t>
  </si>
  <si>
    <t>BASIC</t>
  </si>
  <si>
    <t>SEF</t>
  </si>
  <si>
    <t>PENALTIES</t>
  </si>
  <si>
    <t>Cost of Sale</t>
  </si>
  <si>
    <t>TOTAL Delinquencies as of   June 2022</t>
  </si>
  <si>
    <t>Notice of Delinquency</t>
  </si>
  <si>
    <t>Payment</t>
  </si>
  <si>
    <t>Warrant of Levy</t>
  </si>
  <si>
    <t>Levy</t>
  </si>
  <si>
    <t>REAMRK/S</t>
  </si>
  <si>
    <t>Notice of Publication Preparation</t>
  </si>
  <si>
    <t>Date of Delivery of NOP</t>
  </si>
  <si>
    <t>1st</t>
  </si>
  <si>
    <t>2nd</t>
  </si>
  <si>
    <t>3rd</t>
  </si>
  <si>
    <t>Date</t>
  </si>
  <si>
    <t>Amount</t>
  </si>
  <si>
    <t>ABAD, TIMOTEO .</t>
  </si>
  <si>
    <t>00003-00004 (R-10)</t>
  </si>
  <si>
    <t>Bagong</t>
  </si>
  <si>
    <t>AL</t>
  </si>
  <si>
    <t>2004-2019</t>
  </si>
  <si>
    <t xml:space="preserve">OK </t>
  </si>
  <si>
    <t>ABANES, JOVITO .</t>
  </si>
  <si>
    <t>00035-00349 (R-10)</t>
  </si>
  <si>
    <t>Guintigui-an</t>
  </si>
  <si>
    <t>2005-2019</t>
  </si>
  <si>
    <t>ABAÑO, DIONESIO .</t>
  </si>
  <si>
    <t>00048-00001 (R-10)</t>
  </si>
  <si>
    <t>Transfer 14186</t>
  </si>
  <si>
    <t>Linao</t>
  </si>
  <si>
    <t>RL</t>
  </si>
  <si>
    <t>2013-2019</t>
  </si>
  <si>
    <t>OK</t>
  </si>
  <si>
    <t>ABOYME, JUANA .</t>
  </si>
  <si>
    <t>00012-00002 (R-10)</t>
  </si>
  <si>
    <t>10851-PART</t>
  </si>
  <si>
    <t>Cabingtan</t>
  </si>
  <si>
    <t>ok</t>
  </si>
  <si>
    <t>ADOLFO, TEODOSIA C</t>
  </si>
  <si>
    <t>00084-00379 (R-10)</t>
  </si>
  <si>
    <t>Alta Vista</t>
  </si>
  <si>
    <t>2008-2019</t>
  </si>
  <si>
    <t>ALBIENDA, BENJAMIN .</t>
  </si>
  <si>
    <t>00048-01505 (R-10)</t>
  </si>
  <si>
    <t>LOT 1</t>
  </si>
  <si>
    <t>AL/ ROAD</t>
  </si>
  <si>
    <t>2009-2019</t>
  </si>
  <si>
    <t>ALBIENDA, SALVACION M</t>
  </si>
  <si>
    <t>00048-01464 (R-10)</t>
  </si>
  <si>
    <t>00048-01467 (R-10)</t>
  </si>
  <si>
    <t>LOT 2</t>
  </si>
  <si>
    <t>RL/ ROAD</t>
  </si>
  <si>
    <t>ALFARO, LOURDES C.</t>
  </si>
  <si>
    <t>01002-00075 (R-10)</t>
  </si>
  <si>
    <t>TCT# 121-2011000381</t>
  </si>
  <si>
    <t>District 2</t>
  </si>
  <si>
    <t>CL / ROAD</t>
  </si>
  <si>
    <t>2012-2019</t>
  </si>
  <si>
    <t>ROAD</t>
  </si>
  <si>
    <t>ALFORQUE, REBECCA .</t>
  </si>
  <si>
    <t>00021-00394 (R-10)</t>
  </si>
  <si>
    <t>6479-H-2</t>
  </si>
  <si>
    <t>Curva</t>
  </si>
  <si>
    <t>AMOR, ANNABELLE T</t>
  </si>
  <si>
    <t>00017-00229 (R-10)</t>
  </si>
  <si>
    <t>Can-ontog</t>
  </si>
  <si>
    <t>IL/ROAD</t>
  </si>
  <si>
    <t>ANDRIN, CELERINA .</t>
  </si>
  <si>
    <t>00041-00010 (R-10)</t>
  </si>
  <si>
    <t>6854-E</t>
  </si>
  <si>
    <t>Labrador</t>
  </si>
  <si>
    <t>ANGULO, RAFAEL C.</t>
  </si>
  <si>
    <t>00084-00796 (R-10)</t>
  </si>
  <si>
    <t>1365-D-5</t>
  </si>
  <si>
    <t>RL/ RROW</t>
  </si>
  <si>
    <t>2017-2019</t>
  </si>
  <si>
    <t xml:space="preserve">ok </t>
  </si>
  <si>
    <t>ANICETO, NEMECIO .</t>
  </si>
  <si>
    <t>00067-00049 (R-10)</t>
  </si>
  <si>
    <t>20821-Part</t>
  </si>
  <si>
    <t>Punta</t>
  </si>
  <si>
    <t>RL/ ROAD LOT</t>
  </si>
  <si>
    <t>APOLINAR, FROILAN .</t>
  </si>
  <si>
    <t>01023-00008 (R-10)</t>
  </si>
  <si>
    <t>LOT 2 BLK 4</t>
  </si>
  <si>
    <t>District 23</t>
  </si>
  <si>
    <t>CL/ JICA FLOOD MITIGATION</t>
  </si>
  <si>
    <t>JAICA 3/22/23-OK</t>
  </si>
  <si>
    <t>AQUINO, CONCEPCION TAN</t>
  </si>
  <si>
    <t>00049-00384 (R-10)</t>
  </si>
  <si>
    <t>LOT 7105-A-20-N</t>
  </si>
  <si>
    <t>Luna</t>
  </si>
  <si>
    <t>RL / ROAD</t>
  </si>
  <si>
    <t>00076-00043 (R-10)</t>
  </si>
  <si>
    <t>San Pablo</t>
  </si>
  <si>
    <t>00076-00070 (R-10)</t>
  </si>
  <si>
    <t>00076-02436 (R-10)</t>
  </si>
  <si>
    <t>6117-D-5</t>
  </si>
  <si>
    <t>2007-2019</t>
  </si>
  <si>
    <t>00060-00515 (R-10)</t>
  </si>
  <si>
    <t>LOT 7490-D-5</t>
  </si>
  <si>
    <t>Milagro</t>
  </si>
  <si>
    <t>RL/ROAD</t>
  </si>
  <si>
    <t>00060-00674 (R-10)</t>
  </si>
  <si>
    <t>TCT# 51011</t>
  </si>
  <si>
    <t>ARCHON RESOURCES MANAGEMENT CORPORATION, . .</t>
  </si>
  <si>
    <t>00043-00214 (R-10)</t>
  </si>
  <si>
    <t>8757-76-N</t>
  </si>
  <si>
    <t>Leondoni</t>
  </si>
  <si>
    <t>ARIÑO, JAIME .</t>
  </si>
  <si>
    <t>00012-00004 (R-10)</t>
  </si>
  <si>
    <t>2011-2019</t>
  </si>
  <si>
    <t>ASPRAC AGRICULTURAL CORPORATION, . .</t>
  </si>
  <si>
    <t>00037-00025 (R-10)</t>
  </si>
  <si>
    <t>T-12645</t>
  </si>
  <si>
    <t>Hugpa</t>
  </si>
  <si>
    <t>00068-00007 (R-10)</t>
  </si>
  <si>
    <t>Transfer 11792</t>
  </si>
  <si>
    <t>Quezon, Jr.</t>
  </si>
  <si>
    <t>ASTILLERO, LEONIDO .</t>
  </si>
  <si>
    <t>00048-01948 (R-10)</t>
  </si>
  <si>
    <t>TCT# 35967</t>
  </si>
  <si>
    <t>BADE, ROSENDA .</t>
  </si>
  <si>
    <t>00048-01103 (R-10)</t>
  </si>
  <si>
    <t>6-F</t>
  </si>
  <si>
    <t>BAGONG LIPUNAN COMMUNITY ASSOCIATION INCORPORATED, . .</t>
  </si>
  <si>
    <t>00004-00061 (R-10)</t>
  </si>
  <si>
    <t>5295-55-A</t>
  </si>
  <si>
    <t>Bagong Buhay</t>
  </si>
  <si>
    <t>RL/SCHOOL SITE</t>
  </si>
  <si>
    <t>00004-00072 (R-10)</t>
  </si>
  <si>
    <t>5295-56-P</t>
  </si>
  <si>
    <t>00004-00085 (R-10)</t>
  </si>
  <si>
    <t>5295-57-K</t>
  </si>
  <si>
    <t>00004-00745 (R-9)</t>
  </si>
  <si>
    <t>57-D</t>
  </si>
  <si>
    <t>00004-01938 (R-10)</t>
  </si>
  <si>
    <t>5295-59</t>
  </si>
  <si>
    <t>BANDALAN, ROGELIO</t>
  </si>
  <si>
    <t>00048-00826 (R-8)</t>
  </si>
  <si>
    <t>RB</t>
  </si>
  <si>
    <t>ND</t>
  </si>
  <si>
    <t>BAÑEZ, DOLORES .</t>
  </si>
  <si>
    <t>00019-00129 (R-10)</t>
  </si>
  <si>
    <t>Cogon Combado</t>
  </si>
  <si>
    <t>BAÑEZ, ROMUALDA .</t>
  </si>
  <si>
    <t>00083-00303 (R-10)</t>
  </si>
  <si>
    <t>5870-C</t>
  </si>
  <si>
    <t>Airport</t>
  </si>
  <si>
    <t xml:space="preserve">BAUTISTA, ROLANDO </t>
  </si>
  <si>
    <t>00067-01000 (R-10)</t>
  </si>
  <si>
    <t>2347-A-P[ART</t>
  </si>
  <si>
    <t>2016-2019</t>
  </si>
  <si>
    <t>00067-01369 (R-10)</t>
  </si>
  <si>
    <t>BERNALES, CORNELIO .</t>
  </si>
  <si>
    <t>00019-00144 (R-10)</t>
  </si>
  <si>
    <t>CL/ NEW ANILAO RIVER</t>
  </si>
  <si>
    <t>BURCA, FLORENCIO .</t>
  </si>
  <si>
    <t>00018-00010 (R-10)</t>
  </si>
  <si>
    <t>Catmon</t>
  </si>
  <si>
    <t>00027-00030 (R-10)</t>
  </si>
  <si>
    <t>P-677</t>
  </si>
  <si>
    <t>Domonar</t>
  </si>
  <si>
    <t>00064-00008 (R-10)</t>
  </si>
  <si>
    <t>LOT 8914</t>
  </si>
  <si>
    <t>Nueva Sociedad</t>
  </si>
  <si>
    <t>rts-ok</t>
  </si>
  <si>
    <t>00064-00009 (R-10)</t>
  </si>
  <si>
    <t>TH-62-Part</t>
  </si>
  <si>
    <t>00064-00010 (R-10)</t>
  </si>
  <si>
    <t>rts-ok]\</t>
  </si>
  <si>
    <t>00064-00013 (R-10)</t>
  </si>
  <si>
    <t>LOT 11206-F</t>
  </si>
  <si>
    <t>BURLAS ET AL, DALMACIA .</t>
  </si>
  <si>
    <t>00017-00017 (R-10)</t>
  </si>
  <si>
    <t>LOT 2141-F</t>
  </si>
  <si>
    <t xml:space="preserve">CABAHUG, JEREMIAS </t>
  </si>
  <si>
    <t>00021-00405 (R-10)</t>
  </si>
  <si>
    <t>6226-C-7</t>
  </si>
  <si>
    <t>CABI, MENESIO C.</t>
  </si>
  <si>
    <t>00021-00596 (R-10)</t>
  </si>
  <si>
    <t>6285-E-18-G</t>
  </si>
  <si>
    <t>2018-2019</t>
  </si>
  <si>
    <t>CABILING, CELSO .</t>
  </si>
  <si>
    <t>00044-00129 (R-10)</t>
  </si>
  <si>
    <t>Libertad</t>
  </si>
  <si>
    <t>CABILING, TELESFORO .</t>
  </si>
  <si>
    <t>01022-00009 (R-10)</t>
  </si>
  <si>
    <t>LOT 1126</t>
  </si>
  <si>
    <t>District 22</t>
  </si>
  <si>
    <t xml:space="preserve">RL/ ROAD </t>
  </si>
  <si>
    <t>CABILOS, DOROTEO .</t>
  </si>
  <si>
    <t>00055-00027 (R-10)</t>
  </si>
  <si>
    <t>LOT 8934-PART</t>
  </si>
  <si>
    <t>Mahayahay</t>
  </si>
  <si>
    <t>CAIN, MAXIMO T</t>
  </si>
  <si>
    <t>00073-03222 (R-10)</t>
  </si>
  <si>
    <t>TCT# 121-2014001677</t>
  </si>
  <si>
    <t>San Isidro</t>
  </si>
  <si>
    <t>CAMAQUIN VDA. DE ET AL, JACINTA E.</t>
  </si>
  <si>
    <t>00067-00951 (R-10)</t>
  </si>
  <si>
    <t>LOT 2243-L-9</t>
  </si>
  <si>
    <t>RL/ DPWH COMPOUND</t>
  </si>
  <si>
    <t>CAMAROTE, FAUSTINA .</t>
  </si>
  <si>
    <t>00020-00017 (R-10)</t>
  </si>
  <si>
    <t>Concepcion</t>
  </si>
  <si>
    <t>CAMAROTE, FELICISIMO .</t>
  </si>
  <si>
    <t>00020-00018 (R-10)</t>
  </si>
  <si>
    <t>00020-00020 (R-10)</t>
  </si>
  <si>
    <t>00020-00021 (R-10)</t>
  </si>
  <si>
    <t>CAMAROTE, GREGORIO .</t>
  </si>
  <si>
    <t>00020-00022 (R-10)</t>
  </si>
  <si>
    <t>CAMAROTE, JUAN .</t>
  </si>
  <si>
    <t>00020-00023 (R-10)</t>
  </si>
  <si>
    <t>CAÑABANO, EMETERIO L.</t>
  </si>
  <si>
    <t>00050-00090 (R-10)</t>
  </si>
  <si>
    <t>TCT 1028</t>
  </si>
  <si>
    <t>Mabato</t>
  </si>
  <si>
    <t>CANTON, NARCISO .</t>
  </si>
  <si>
    <t>00048-00142 (R-10)</t>
  </si>
  <si>
    <t>00048-00730 (R-8)</t>
  </si>
  <si>
    <t>CAPAHI, GERONIMO .</t>
  </si>
  <si>
    <t>00002-00027 (R-10)</t>
  </si>
  <si>
    <t>Alegria</t>
  </si>
  <si>
    <t>TP-497</t>
  </si>
  <si>
    <t>CAPAHI, RUSTICO .</t>
  </si>
  <si>
    <t>00074-00102 (R-10)</t>
  </si>
  <si>
    <t>San Jose</t>
  </si>
  <si>
    <t>00041-00087 (R-10)</t>
  </si>
  <si>
    <t>00062-00028 (R-10)</t>
  </si>
  <si>
    <t>Nasunogan</t>
  </si>
  <si>
    <t>AL/ROAD</t>
  </si>
  <si>
    <t>3/9*/23</t>
  </si>
  <si>
    <t>00070-00101 (R-10)</t>
  </si>
  <si>
    <t>Sabang Bao</t>
  </si>
  <si>
    <t>CAPUYAN, JESUS .</t>
  </si>
  <si>
    <t>00006-00019 (R-10)</t>
  </si>
  <si>
    <t>Batuan</t>
  </si>
  <si>
    <t>CAPUYAN, OLIMPIO .</t>
  </si>
  <si>
    <t>00019-02669 (R-10)</t>
  </si>
  <si>
    <t>LOT 2212-G</t>
  </si>
  <si>
    <t>RL/PUBLIC ROAD</t>
  </si>
  <si>
    <t>CASTILLO, DIOSDADO .</t>
  </si>
  <si>
    <t>00048-00166 (R-10)</t>
  </si>
  <si>
    <t>LOT 2373-B-43</t>
  </si>
  <si>
    <t>CASTRO, MIGUEL .</t>
  </si>
  <si>
    <t>01023-00013 (R-10)</t>
  </si>
  <si>
    <t>Original 13461</t>
  </si>
  <si>
    <t>CL/ ROAD</t>
  </si>
  <si>
    <t>PUBLIC LAND 3/22/23-OK</t>
  </si>
  <si>
    <t>5/19/23-rtr</t>
  </si>
  <si>
    <t>CATAAG, GREGORIO .</t>
  </si>
  <si>
    <t>00026-00061 (R-10)</t>
  </si>
  <si>
    <t>Dolores</t>
  </si>
  <si>
    <t>CHUA, MANUEL .</t>
  </si>
  <si>
    <t>00073-00705 (R-10)</t>
  </si>
  <si>
    <t>2014-2019</t>
  </si>
  <si>
    <t>00073-00708 (R-10)</t>
  </si>
  <si>
    <t>00073-02830 (R-10)</t>
  </si>
  <si>
    <t>CODOG, BONIFACIO .</t>
  </si>
  <si>
    <t>00052-00298 (R-10)</t>
  </si>
  <si>
    <t>3526-C-1-D</t>
  </si>
  <si>
    <t>Macabug</t>
  </si>
  <si>
    <t>refused to receive</t>
  </si>
  <si>
    <t>RTR NA SUB-DIVIDE NA-ok</t>
  </si>
  <si>
    <t>00052-00328 (R-10)</t>
  </si>
  <si>
    <t>3527-B-4</t>
  </si>
  <si>
    <t>CODOG, MANUELA .</t>
  </si>
  <si>
    <t>00055-00045 (R-10)</t>
  </si>
  <si>
    <t>COLINA DE, VERONICA C</t>
  </si>
  <si>
    <t>00082-00099 (R-10)</t>
  </si>
  <si>
    <t>LOT 11521-C-PART</t>
  </si>
  <si>
    <t>Valencia</t>
  </si>
  <si>
    <t>COMISO, SARAH S</t>
  </si>
  <si>
    <t>00024-00524 (R-10)</t>
  </si>
  <si>
    <t>Dayhagan</t>
  </si>
  <si>
    <t>IL</t>
  </si>
  <si>
    <t>CONOPIO, IGNACIA VDA DE P</t>
  </si>
  <si>
    <t>00020-00044 (R-10)</t>
  </si>
  <si>
    <t>8183-part</t>
  </si>
  <si>
    <t>CONOPIO, MANUEL .</t>
  </si>
  <si>
    <t>00020-00045 (R-10)</t>
  </si>
  <si>
    <t>00020-00046 (R-10)</t>
  </si>
  <si>
    <t>TCT # 6105</t>
  </si>
  <si>
    <t>CONOPIO, VICTORIA P</t>
  </si>
  <si>
    <t>00025-00010 (R-10)</t>
  </si>
  <si>
    <t>District 29</t>
  </si>
  <si>
    <t>CONUI, BASILIO .</t>
  </si>
  <si>
    <t>00038-01038 (R-10)</t>
  </si>
  <si>
    <t>LOT 18-N-3-A-4-E-2</t>
  </si>
  <si>
    <t>Ipil</t>
  </si>
  <si>
    <t>CON-UI, CLARISSA .</t>
  </si>
  <si>
    <t>00084-00516 (R-10)</t>
  </si>
  <si>
    <t>1365-G-3-C-1</t>
  </si>
  <si>
    <t>00084-00723 (R-10)</t>
  </si>
  <si>
    <t>2833-E-9</t>
  </si>
  <si>
    <t>00084-00724 (R-10)</t>
  </si>
  <si>
    <t>2833-E-7-A</t>
  </si>
  <si>
    <t>2019-2019</t>
  </si>
  <si>
    <t>00084-00725 (R-10)</t>
  </si>
  <si>
    <t>2833-E-7-B</t>
  </si>
  <si>
    <t>00084-00726 (R-10)</t>
  </si>
  <si>
    <t>2833-E-7-C</t>
  </si>
  <si>
    <t>00084-00727 (R-10)</t>
  </si>
  <si>
    <t>2833-E-7-D</t>
  </si>
  <si>
    <t>00084-00734 (R-10)</t>
  </si>
  <si>
    <t>2833-E-8-G-2</t>
  </si>
  <si>
    <t>2015-2019</t>
  </si>
  <si>
    <t>00084-00740 (R-10)</t>
  </si>
  <si>
    <t>2833-E-8-G-8</t>
  </si>
  <si>
    <t>00084-00741 (R-10)</t>
  </si>
  <si>
    <t>2833-E-8-G-9</t>
  </si>
  <si>
    <t>00084-00783 (R-10)</t>
  </si>
  <si>
    <t>2833-E-2-A</t>
  </si>
  <si>
    <t>00084-00784 (R-10)</t>
  </si>
  <si>
    <t>2833-E-2-C</t>
  </si>
  <si>
    <t>00084-00788 (R-10)</t>
  </si>
  <si>
    <t>2833-E-2-H</t>
  </si>
  <si>
    <t>00084-00837 (R-10)</t>
  </si>
  <si>
    <t>2833-E-5-1</t>
  </si>
  <si>
    <t>00084-00840 (R-10)</t>
  </si>
  <si>
    <t>1364-C-1</t>
  </si>
  <si>
    <t>AL/Leyeco Substation</t>
  </si>
  <si>
    <t>00084-00841 (R-10)</t>
  </si>
  <si>
    <t>1364-C-3</t>
  </si>
  <si>
    <t>00084-00950 (R-10)</t>
  </si>
  <si>
    <t>2833-E-8-1</t>
  </si>
  <si>
    <t>00084-00980 (R-10)</t>
  </si>
  <si>
    <t>2833-E-3-A</t>
  </si>
  <si>
    <t>00084-00981 (R-10)</t>
  </si>
  <si>
    <t>2833-E-3-D</t>
  </si>
  <si>
    <t>00084-00982 (R-10)</t>
  </si>
  <si>
    <t>2833-E-3-E</t>
  </si>
  <si>
    <t>00084-00989 (R-10)</t>
  </si>
  <si>
    <t>2833-E-8-F-5</t>
  </si>
  <si>
    <t>00084-00750 (R-10)</t>
  </si>
  <si>
    <t>2833-E-1-D</t>
  </si>
  <si>
    <t>00084-00751 (R-10)</t>
  </si>
  <si>
    <t>2833-E-1-E</t>
  </si>
  <si>
    <t>00084-00752 (R-10)</t>
  </si>
  <si>
    <t>2833-E-1-F</t>
  </si>
  <si>
    <t>00084-00754 (R-10)</t>
  </si>
  <si>
    <t>2833-E-1-H</t>
  </si>
  <si>
    <t>00084-00835 (R-10)</t>
  </si>
  <si>
    <t>2833-E-5-F</t>
  </si>
  <si>
    <t>00084-00987 (R-10)</t>
  </si>
  <si>
    <t>2833-E-8-F-3</t>
  </si>
  <si>
    <t>CONUI, RAFAEL .</t>
  </si>
  <si>
    <t>00038-01324 (R-10)</t>
  </si>
  <si>
    <t>LOT 14-M</t>
  </si>
  <si>
    <t>RL/Road</t>
  </si>
  <si>
    <t xml:space="preserve">CORMANES, TOMAS </t>
  </si>
  <si>
    <t>00084-00854 (R-10)</t>
  </si>
  <si>
    <t>TCT# 121-2016000806</t>
  </si>
  <si>
    <t>CORNEL, TEODOSIA .</t>
  </si>
  <si>
    <t>00084-00526 (R-10)</t>
  </si>
  <si>
    <t>1364-F-1</t>
  </si>
  <si>
    <t>AL/ BRGY ROAD</t>
  </si>
  <si>
    <t>CORNEL, TEODOSIA CONUI</t>
  </si>
  <si>
    <t>00084-00792 (R-10)</t>
  </si>
  <si>
    <t>1364-F-4-D</t>
  </si>
  <si>
    <t>CORNEL, TEOFILO JR .</t>
  </si>
  <si>
    <t>01003-00055 (R-10)</t>
  </si>
  <si>
    <t>District 3</t>
  </si>
  <si>
    <t>CB</t>
  </si>
  <si>
    <t>CORPUS, PEDRITO M</t>
  </si>
  <si>
    <t>00083-00049 (R-10)</t>
  </si>
  <si>
    <t>CORPUZ, DAMIAN .</t>
  </si>
  <si>
    <t>00083-00344 (R-10)</t>
  </si>
  <si>
    <t>LOT 5760-G-2-B-5</t>
  </si>
  <si>
    <t>COSIDO, TEOTIMO O</t>
  </si>
  <si>
    <t>00020-00056 (R-10)</t>
  </si>
  <si>
    <t>29279-Part</t>
  </si>
  <si>
    <t>COSTE, CANDIDO .</t>
  </si>
  <si>
    <t>00020-00283 (R-10)</t>
  </si>
  <si>
    <t>CUBI, ANTONIO .</t>
  </si>
  <si>
    <t>00002-00289 (R-10)</t>
  </si>
  <si>
    <t>DRY RIVER BED</t>
  </si>
  <si>
    <t>CUYO, DIONESIO .</t>
  </si>
  <si>
    <t>00033-00057 (R-10)</t>
  </si>
  <si>
    <t>LOT 46</t>
  </si>
  <si>
    <t>Gaas</t>
  </si>
  <si>
    <t>DAAN, MOISES G</t>
  </si>
  <si>
    <t>00038-00622 (R-10)</t>
  </si>
  <si>
    <t>LOT 6-C-1</t>
  </si>
  <si>
    <t>00038-00623 (R-10)</t>
  </si>
  <si>
    <t>LOT 6-C-4</t>
  </si>
  <si>
    <t>DAFFON (HRS. OF), BRUNO .</t>
  </si>
  <si>
    <t>00038-00156 (R-10)</t>
  </si>
  <si>
    <t>LOT 1786-1</t>
  </si>
  <si>
    <t>00038-00157 (R-10)</t>
  </si>
  <si>
    <t>DAISOG, ABUNDIO .</t>
  </si>
  <si>
    <t>00068-00076 (R-10)</t>
  </si>
  <si>
    <t>4169-PART</t>
  </si>
  <si>
    <t>DE GUZMAN, FERDINAND L</t>
  </si>
  <si>
    <t>00080-03167 (R-10)</t>
  </si>
  <si>
    <t>Tambulilid</t>
  </si>
  <si>
    <t>DELGADO, FLORENTINO .</t>
  </si>
  <si>
    <t>00038-00182 (R-10)</t>
  </si>
  <si>
    <t>DELGADO, MAMERTO JR. .</t>
  </si>
  <si>
    <t>00038-00188 (R-10)</t>
  </si>
  <si>
    <t>LOT 1764-B-1</t>
  </si>
  <si>
    <t>DEVELOPMENT BANK OF THE PHILIPPINES, . .</t>
  </si>
  <si>
    <t>00067-01188 (R-10)</t>
  </si>
  <si>
    <t>DIANO, RUFINO .</t>
  </si>
  <si>
    <t>00039-00304 (R-10)</t>
  </si>
  <si>
    <t>8176-L</t>
  </si>
  <si>
    <t>Juaton</t>
  </si>
  <si>
    <t>ok rag e auction</t>
  </si>
  <si>
    <t>DORIA, CONRADO .</t>
  </si>
  <si>
    <t>00002-00517 (R-10)</t>
  </si>
  <si>
    <t>4-D-5</t>
  </si>
  <si>
    <t>RL/ALLEY</t>
  </si>
  <si>
    <t>00002-00518 (R-10)</t>
  </si>
  <si>
    <t>4-D-6</t>
  </si>
  <si>
    <t>00002-00519 (R-10)</t>
  </si>
  <si>
    <t>4-D-7</t>
  </si>
  <si>
    <t>RL/RROW</t>
  </si>
  <si>
    <t>00002-00522 (R-10)</t>
  </si>
  <si>
    <t>4-C-3</t>
  </si>
  <si>
    <t>DORIA, NENITA .</t>
  </si>
  <si>
    <t>00002-00104 (R-10)</t>
  </si>
  <si>
    <t>6-B-1</t>
  </si>
  <si>
    <t>DULAY, DANIEL L</t>
  </si>
  <si>
    <t>00055-00055 (R-10)</t>
  </si>
  <si>
    <t>Transfer 1297</t>
  </si>
  <si>
    <t>EA, CRISOLOGO .</t>
  </si>
  <si>
    <t>00038-00202 (R-10)</t>
  </si>
  <si>
    <t>AL/ LITTORAL LAND</t>
  </si>
  <si>
    <t>EAMIGUEL, CARMELITO O</t>
  </si>
  <si>
    <t>00019-01424 (R-9)</t>
  </si>
  <si>
    <t>EAMIGUEL, MARTINA VDA. DE .</t>
  </si>
  <si>
    <t>00019-01375 (R-9)</t>
  </si>
  <si>
    <t>ECHEVERRIA, FE C.</t>
  </si>
  <si>
    <t>00049-00952 (R-10)</t>
  </si>
  <si>
    <t>ECOT, CERILO .</t>
  </si>
  <si>
    <t>00047-00242 (R-10)</t>
  </si>
  <si>
    <t>LOT 6554</t>
  </si>
  <si>
    <t>Lilo-an</t>
  </si>
  <si>
    <t>ESMERO, TELESFORO .</t>
  </si>
  <si>
    <t>00074-00166 (R-10)</t>
  </si>
  <si>
    <t>LOT 3-D</t>
  </si>
  <si>
    <t>ESPINA, LUIS V</t>
  </si>
  <si>
    <t>00035-00107 (R-10)</t>
  </si>
  <si>
    <t>Transfer 12720-Part</t>
  </si>
  <si>
    <t>00035-00108 (R-10)</t>
  </si>
  <si>
    <t>Transfer 148-Part</t>
  </si>
  <si>
    <t>RL/ ROAD &amp; CANAL</t>
  </si>
  <si>
    <t>00035-00113 (R-10)</t>
  </si>
  <si>
    <t>Transfer 149-Part</t>
  </si>
  <si>
    <t>00035-00537 (R-10)</t>
  </si>
  <si>
    <t>LOT 8627-A</t>
  </si>
  <si>
    <t>EVALDEZ, FRANK .</t>
  </si>
  <si>
    <t>00026-00356 (R-10)</t>
  </si>
  <si>
    <t>RTR-OK</t>
  </si>
  <si>
    <t>FARRALES, NIEVES PONGOS</t>
  </si>
  <si>
    <t>00068-00142 (R-10)</t>
  </si>
  <si>
    <t>Transfer 5204</t>
  </si>
  <si>
    <t>FIEL, AMBROCIA  (HRS. OF) .</t>
  </si>
  <si>
    <t>00030-00032 (R-10)</t>
  </si>
  <si>
    <t>2936-PART</t>
  </si>
  <si>
    <t>Donghol</t>
  </si>
  <si>
    <t>FRAN FARMS INC., . .</t>
  </si>
  <si>
    <t>00035-00139 (R-10)</t>
  </si>
  <si>
    <t>00035-00144 (R-10)</t>
  </si>
  <si>
    <t>49,50,51,52,53</t>
  </si>
  <si>
    <t>AL / ROAD</t>
  </si>
  <si>
    <t>00035-00148 (R-10)</t>
  </si>
  <si>
    <t>LOT 4</t>
  </si>
  <si>
    <t>00035-00152 (R-10)</t>
  </si>
  <si>
    <t>22979-Part</t>
  </si>
  <si>
    <t>AL/ ROAD &amp; CANAL</t>
  </si>
  <si>
    <t>00035-00153 (R-10)</t>
  </si>
  <si>
    <t>00035-00154 (R-10)</t>
  </si>
  <si>
    <t>22985-Part</t>
  </si>
  <si>
    <t>00035-00160 (R-10)</t>
  </si>
  <si>
    <t>Transfer 22771-Part</t>
  </si>
  <si>
    <t>00035-00163 (R-10)</t>
  </si>
  <si>
    <t>LOT 21</t>
  </si>
  <si>
    <t>FRAN FARMS INC./ JESUS FRAN, . .</t>
  </si>
  <si>
    <t>00059-00117 (R-10)</t>
  </si>
  <si>
    <t>22987-part</t>
  </si>
  <si>
    <t>Matica-a</t>
  </si>
  <si>
    <t>00059-00120 (R-10)</t>
  </si>
  <si>
    <t>00059-00153 (R-10)</t>
  </si>
  <si>
    <t>LOT 8637-B</t>
  </si>
  <si>
    <t>00059-00376 (R-10)</t>
  </si>
  <si>
    <t>LOT 8656-B</t>
  </si>
  <si>
    <t>FUMAR, CECILIO O</t>
  </si>
  <si>
    <t>00048-00288 (R-10)</t>
  </si>
  <si>
    <t>RL/ FORESHORELAND</t>
  </si>
  <si>
    <t>GABRIEL, JUAN .</t>
  </si>
  <si>
    <t>00020-00090 (R-10)</t>
  </si>
  <si>
    <t>LOT 7983</t>
  </si>
  <si>
    <t>RL/ SCHOOL SITE</t>
  </si>
  <si>
    <t>2004-2022</t>
  </si>
  <si>
    <t>GALOS, RODRIGO .</t>
  </si>
  <si>
    <t>00083-00086 (R-10)</t>
  </si>
  <si>
    <t>5760-B-4</t>
  </si>
  <si>
    <t>GANTUANGCO, BRAULIO .</t>
  </si>
  <si>
    <t>00059-00197 (R-10)</t>
  </si>
  <si>
    <t>LOT 8696</t>
  </si>
  <si>
    <t>GANTUANGCO, EMILIO .</t>
  </si>
  <si>
    <t>00059-00227 (R-8)</t>
  </si>
  <si>
    <t>REFUSED TO RECEIVED- ok</t>
  </si>
  <si>
    <t>GAQUIT, JOSE .</t>
  </si>
  <si>
    <t>00019-00520 (R-10)</t>
  </si>
  <si>
    <t>00019-00521 (R-10)</t>
  </si>
  <si>
    <t>GARCISO, LAURIANO DONALDO</t>
  </si>
  <si>
    <t>00021-00382 (R-10)</t>
  </si>
  <si>
    <t>Transfer 2995</t>
  </si>
  <si>
    <t>GARIN, RINALDO G</t>
  </si>
  <si>
    <t>00004-01975 (R-10)</t>
  </si>
  <si>
    <t>TCT# 45326</t>
  </si>
  <si>
    <t>GENARES, EMELITA BADE</t>
  </si>
  <si>
    <t>00080-01098 (R-10)</t>
  </si>
  <si>
    <t>5304-A-3</t>
  </si>
  <si>
    <t>GESTOPA, JORGE V</t>
  </si>
  <si>
    <t>00041-00420 (R-10)</t>
  </si>
  <si>
    <t>GESTOPA, LOLITA V</t>
  </si>
  <si>
    <t>00041-00421 (R-10)</t>
  </si>
  <si>
    <t>GINDOY, BASILIO .</t>
  </si>
  <si>
    <t>00016-00187 (R-10)</t>
  </si>
  <si>
    <t>LOT 1568-PART</t>
  </si>
  <si>
    <t>Can-adieng</t>
  </si>
  <si>
    <t>GOCHOCO, LUIS .</t>
  </si>
  <si>
    <t>00024-00239 (R-10)</t>
  </si>
  <si>
    <t>7116-N</t>
  </si>
  <si>
    <t>RL/ ROAD WIDENING</t>
  </si>
  <si>
    <t>00024-00245 (R-10)</t>
  </si>
  <si>
    <t>5721-D</t>
  </si>
  <si>
    <t>GONZALES, ANGEL .</t>
  </si>
  <si>
    <t>00055-00068 (R-10)</t>
  </si>
  <si>
    <t>LOT NO. 11011</t>
  </si>
  <si>
    <t>GONZALES, GENEROSO .</t>
  </si>
  <si>
    <t>00033-00103 (R-10)</t>
  </si>
  <si>
    <t>LOT 73</t>
  </si>
  <si>
    <t>GUMANIB, MARGARITA .</t>
  </si>
  <si>
    <t>00038-00230 (R-10)</t>
  </si>
  <si>
    <t>Transfer 23455</t>
  </si>
  <si>
    <t xml:space="preserve">H. SERAFICA &amp; SONS CORPORATION, </t>
  </si>
  <si>
    <t>00003-00055 (R-10)</t>
  </si>
  <si>
    <t>00003-00060 (R-10)</t>
  </si>
  <si>
    <t>00003-00062 (R-10)</t>
  </si>
  <si>
    <t>00003-00063 (R-10)</t>
  </si>
  <si>
    <t>00003-00064 (R-10)</t>
  </si>
  <si>
    <t>00003-00065 (R-10)</t>
  </si>
  <si>
    <t>00003-00067 (R-10)</t>
  </si>
  <si>
    <t>00003-00072 (R-10)</t>
  </si>
  <si>
    <t>00003-00073 (R-10)</t>
  </si>
  <si>
    <t>00003-00074 (R-10)</t>
  </si>
  <si>
    <t>00003-00075 (R-10)</t>
  </si>
  <si>
    <t>H. SERAFICA &amp; SONS CORPORATION, .</t>
  </si>
  <si>
    <t>00060-00069 (R-10)</t>
  </si>
  <si>
    <t>TCT 18173</t>
  </si>
  <si>
    <t>H. SERAFICA &amp; SONS CORPORATION, . .</t>
  </si>
  <si>
    <t>00007-00029 (R-10)</t>
  </si>
  <si>
    <t>Bayog</t>
  </si>
  <si>
    <t>00007-00030 (R-10)</t>
  </si>
  <si>
    <t>00007-00033 (R-10)</t>
  </si>
  <si>
    <t>00007-00034 (R-10)</t>
  </si>
  <si>
    <t>00007-00035 (R-10)</t>
  </si>
  <si>
    <t>00007-00046 (R-10)</t>
  </si>
  <si>
    <t>00007-00047 (R-10)</t>
  </si>
  <si>
    <t>00018-00049 (R-10)</t>
  </si>
  <si>
    <t>H. SERAFICA &amp; SONS CORPORATION</t>
  </si>
  <si>
    <t>00020-00100 (R-10)</t>
  </si>
  <si>
    <t xml:space="preserve">RL </t>
  </si>
  <si>
    <t>00020-00112 (R-10)</t>
  </si>
  <si>
    <t>00036-00082 (R-10)</t>
  </si>
  <si>
    <t>Hibonaon</t>
  </si>
  <si>
    <t>okl</t>
  </si>
  <si>
    <t>00041-00164 (R-10)</t>
  </si>
  <si>
    <t>00041-00169 (R-10)</t>
  </si>
  <si>
    <t>00041-00181 (R-10)</t>
  </si>
  <si>
    <t>H. SERAFICA, SONS CORP.</t>
  </si>
  <si>
    <t>00053-00112 (R-10)</t>
  </si>
  <si>
    <t>Magaswe</t>
  </si>
  <si>
    <t>HAYAG PARENTS ASSOCIATION, . .</t>
  </si>
  <si>
    <t>00073-03447 (R-10)</t>
  </si>
  <si>
    <t>5278-B-1-C-6-D</t>
  </si>
  <si>
    <t>00073-03454 (R-10)</t>
  </si>
  <si>
    <t>5278-B-1-C-6-K</t>
  </si>
  <si>
    <t>00073-03463 (R-10)</t>
  </si>
  <si>
    <t>5278-B-1-C-8-I</t>
  </si>
  <si>
    <t>00073-03464 (R-10)</t>
  </si>
  <si>
    <t>5278-B-1-C-8-J</t>
  </si>
  <si>
    <t>00073-03473 (R-10)</t>
  </si>
  <si>
    <t>5282-A-1-C-9</t>
  </si>
  <si>
    <t>00073-03477 (R-10)</t>
  </si>
  <si>
    <t>5278-B-1-C-1</t>
  </si>
  <si>
    <t>00073-03481 (R-10)</t>
  </si>
  <si>
    <t>5282-A-1-E</t>
  </si>
  <si>
    <t>00073-03490 (R-10)</t>
  </si>
  <si>
    <t>5282-A-1-G-8</t>
  </si>
  <si>
    <t>00073-03495 (R-10)</t>
  </si>
  <si>
    <t>5278-B-1-C-4</t>
  </si>
  <si>
    <t>00073-03589 (R-10)</t>
  </si>
  <si>
    <t>5282-A-1-H-5</t>
  </si>
  <si>
    <t>00073-03590 (R-10)</t>
  </si>
  <si>
    <t>HERMOSILLA, FABIAN .</t>
  </si>
  <si>
    <t>00026-00137 (R-10)</t>
  </si>
  <si>
    <t>Original 26678</t>
  </si>
  <si>
    <t>HIRAYAMA, HELEN .</t>
  </si>
  <si>
    <t>00052-00503 (R-10)</t>
  </si>
  <si>
    <t>REFUSED TO RECEIVED-ok</t>
  </si>
  <si>
    <t>ISAAC, JUANITO .</t>
  </si>
  <si>
    <t>00002-00134 (R-10)</t>
  </si>
  <si>
    <t>RL/ RIVERWALK</t>
  </si>
  <si>
    <t>ITOK, FEDELINA .</t>
  </si>
  <si>
    <t>00002-00136 (R-10)</t>
  </si>
  <si>
    <t>Lot 2500</t>
  </si>
  <si>
    <t>JUNTILLA, RUBEN A</t>
  </si>
  <si>
    <t>00012-00030 (R-10)</t>
  </si>
  <si>
    <t>2006-2019</t>
  </si>
  <si>
    <t>LAGUNA, ARTURO ABAS</t>
  </si>
  <si>
    <t>00021-00378 (R-10)</t>
  </si>
  <si>
    <t>Transfer 2992</t>
  </si>
  <si>
    <t>LAGUNA, MARTA .</t>
  </si>
  <si>
    <t>00048-00340 (R-10)</t>
  </si>
  <si>
    <t>LAMBOT, EUFEMIO M.</t>
  </si>
  <si>
    <t>00021-00180 (R-10)</t>
  </si>
  <si>
    <t>T-2448</t>
  </si>
  <si>
    <t>00021-00182 (R-10)</t>
  </si>
  <si>
    <t>T-2669</t>
  </si>
  <si>
    <t>LANDERO, MARLINDA E</t>
  </si>
  <si>
    <t>00048-01415 (R-10)</t>
  </si>
  <si>
    <t>LAUDE, INOCENTES (HRS OF) .</t>
  </si>
  <si>
    <t>00084-00082 (R-10)</t>
  </si>
  <si>
    <t>LOT 1369</t>
  </si>
  <si>
    <t>LAUDE, PURIFICACION .</t>
  </si>
  <si>
    <t>00084-00083 (R-10)</t>
  </si>
  <si>
    <t>TP-447</t>
  </si>
  <si>
    <t>LAUREÑANA (HRS. OF), GENARO .</t>
  </si>
  <si>
    <t>00074-00252 (R-10)</t>
  </si>
  <si>
    <t>LOT 10970-C</t>
  </si>
  <si>
    <t>LAUREÑANA, GENARO .</t>
  </si>
  <si>
    <t>00074-00256 (R-10)</t>
  </si>
  <si>
    <t>LOT 12017-PART</t>
  </si>
  <si>
    <t>LAURENTE, CELERINO .</t>
  </si>
  <si>
    <t>00084-00207 (R-10)</t>
  </si>
  <si>
    <t>LOT 10</t>
  </si>
  <si>
    <t>00084-00208 (R-10)</t>
  </si>
  <si>
    <t>LOT 11</t>
  </si>
  <si>
    <t>LAURENTE, CELERINO SR. .</t>
  </si>
  <si>
    <t>00084-00550 (R-10)</t>
  </si>
  <si>
    <t>9-D-2-J</t>
  </si>
  <si>
    <t xml:space="preserve">05/19/2023 -refused </t>
  </si>
  <si>
    <t>LAURENTE, JOVENCIO .</t>
  </si>
  <si>
    <t>00024-00092 (R-10)</t>
  </si>
  <si>
    <t>IL / SUBDIVISION ROAD</t>
  </si>
  <si>
    <t>00024-00256 (R-10)</t>
  </si>
  <si>
    <t>00024-00377 (R-10)</t>
  </si>
  <si>
    <t>TCT 37841</t>
  </si>
  <si>
    <t>RL / SUBDIVISION ROAD</t>
  </si>
  <si>
    <t>00024-00378 (R-10)</t>
  </si>
  <si>
    <t>TCT 37942</t>
  </si>
  <si>
    <t>LAURENTE, LEON .</t>
  </si>
  <si>
    <t>00030-00270 (R-10)</t>
  </si>
  <si>
    <t>LAURENTE, POLICARPOR .</t>
  </si>
  <si>
    <t>00019-01263 (R-10)</t>
  </si>
  <si>
    <t>LAURENTE, SABAS .</t>
  </si>
  <si>
    <t>00030-00278 (R-10)</t>
  </si>
  <si>
    <t>LEODONES, EDELYN KIERULF</t>
  </si>
  <si>
    <t>00031-00787 (R-10)</t>
  </si>
  <si>
    <t>Dona Feliza Z. Mejia</t>
  </si>
  <si>
    <t>LEODONES, WILLIAM B</t>
  </si>
  <si>
    <t>00031-00788 (R-10)</t>
  </si>
  <si>
    <t>LIGORO, OSCAR .</t>
  </si>
  <si>
    <t>00004-02042 (R-10)</t>
  </si>
  <si>
    <t>LIM, NATIVIDAD .</t>
  </si>
  <si>
    <t>00024-00097 (R-10)</t>
  </si>
  <si>
    <t>LINGO, DOMINADOR .</t>
  </si>
  <si>
    <t>00004-01787 (R-10)</t>
  </si>
  <si>
    <t>5368-A-12</t>
  </si>
  <si>
    <t>2010-2019</t>
  </si>
  <si>
    <t>00004-01788 (R-10)</t>
  </si>
  <si>
    <t>5368-A-13</t>
  </si>
  <si>
    <t>00004-02238 (R-10)</t>
  </si>
  <si>
    <t>5368-B-1</t>
  </si>
  <si>
    <t>00004-02240 (R-10)</t>
  </si>
  <si>
    <t>5368-B-3 (ALLEY)</t>
  </si>
  <si>
    <t>AL/ RROW</t>
  </si>
  <si>
    <t>00004-02241 (R-10)</t>
  </si>
  <si>
    <t>5368-B-4-D</t>
  </si>
  <si>
    <t>00004-02242 (R-10)</t>
  </si>
  <si>
    <t>5368-B-4-E</t>
  </si>
  <si>
    <t>00004-02243 (R-10)</t>
  </si>
  <si>
    <t>5368-B-4-C</t>
  </si>
  <si>
    <t>LLANILLO, ENRIQUETA R</t>
  </si>
  <si>
    <t>00019-01596 (R-10)</t>
  </si>
  <si>
    <t>2220-C-2-G-6-B-2-13</t>
  </si>
  <si>
    <t>00019-01953 (R-10)</t>
  </si>
  <si>
    <t>2220-C-2-H-7-B</t>
  </si>
  <si>
    <t>LOCAL GOVERNMENT OF BARANGAY, DISTRICT XIII .</t>
  </si>
  <si>
    <t>01013-00227 (R-10)</t>
  </si>
  <si>
    <t>TCT# 121-2021001093</t>
  </si>
  <si>
    <t>District 13</t>
  </si>
  <si>
    <t>LONZAGA, FABIAN .</t>
  </si>
  <si>
    <t>00026-00183 (R-10)</t>
  </si>
  <si>
    <t>LUCERO, DIOSDADO N.</t>
  </si>
  <si>
    <t>00004-00305 (R-10)</t>
  </si>
  <si>
    <t>Transfer 25842</t>
  </si>
  <si>
    <t>donated to ormoc city exiting road</t>
  </si>
  <si>
    <t>MACABUHAY, ANTONIO C</t>
  </si>
  <si>
    <t>00023-00083 (R-10)</t>
  </si>
  <si>
    <t>Danhug</t>
  </si>
  <si>
    <t xml:space="preserve">RL/ CHAPEL  </t>
  </si>
  <si>
    <t>00023-00084 (R-10)</t>
  </si>
  <si>
    <t>Transfer TH-548</t>
  </si>
  <si>
    <t>00023-00085 (R-10)</t>
  </si>
  <si>
    <t>Transfer TH-547</t>
  </si>
  <si>
    <t>00023-00086 (R-10)</t>
  </si>
  <si>
    <t>TH-546</t>
  </si>
  <si>
    <t>00023-00170 (R-10)</t>
  </si>
  <si>
    <t>3477-G-4-H-2</t>
  </si>
  <si>
    <t>MACDAN FARMERS PRIMARY MULTI-PURPOSE COOPERATIVE, . .</t>
  </si>
  <si>
    <t>00052-00231 (R-10)</t>
  </si>
  <si>
    <t>1-K</t>
  </si>
  <si>
    <t>NO ONE TO RECEIVE</t>
  </si>
  <si>
    <t>MACION, MARCELINO .</t>
  </si>
  <si>
    <t>00033-00116 (R-10)</t>
  </si>
  <si>
    <t>LOT 99</t>
  </si>
  <si>
    <t>MAGLASANG, ALUDIA J</t>
  </si>
  <si>
    <t>00084-00564 (R-10)</t>
  </si>
  <si>
    <t>TCT# 54319</t>
  </si>
  <si>
    <t>00084-00565 (R-10)</t>
  </si>
  <si>
    <t>TCT# 54320</t>
  </si>
  <si>
    <t>00084-00677 (R-10)</t>
  </si>
  <si>
    <t>2834-D-1-B-8</t>
  </si>
  <si>
    <t>00084-00704 (R-10)</t>
  </si>
  <si>
    <t>2834-D-1-D-2</t>
  </si>
  <si>
    <t>00084-00708 (R-10)</t>
  </si>
  <si>
    <t>2834-D-1-D-6</t>
  </si>
  <si>
    <t>00084-00710 (R-10)</t>
  </si>
  <si>
    <t>2834-D-1-D-8</t>
  </si>
  <si>
    <t>00084-00766 (R-10)</t>
  </si>
  <si>
    <t>2834-D-1-A-9</t>
  </si>
  <si>
    <t>00084-00904 (R-10)</t>
  </si>
  <si>
    <t>2834-D-1-C-1</t>
  </si>
  <si>
    <t xml:space="preserve">                 </t>
  </si>
  <si>
    <t>00084-00908 (R-10)</t>
  </si>
  <si>
    <t>2834-D-1-C-7</t>
  </si>
  <si>
    <t>00084-00909 (R-10)</t>
  </si>
  <si>
    <t>2834-D-1-C-8</t>
  </si>
  <si>
    <t>00084-00910 (R-10)</t>
  </si>
  <si>
    <t>2834-D-1-C-9</t>
  </si>
  <si>
    <t>MAHUSAY, SERGIO O</t>
  </si>
  <si>
    <t>00057-00363 (R-10)</t>
  </si>
  <si>
    <t>Margen</t>
  </si>
  <si>
    <t>MANULAT, DIODEJAMES O</t>
  </si>
  <si>
    <t>00048-00384 (R-10)</t>
  </si>
  <si>
    <t>NOT LOCATED</t>
  </si>
  <si>
    <t>MANULAT, ESCOLASTICA O</t>
  </si>
  <si>
    <t>00048-00385 (R-10)</t>
  </si>
  <si>
    <t>Transfer 19210</t>
  </si>
  <si>
    <t>NOT LOCATED-ok</t>
  </si>
  <si>
    <t>00048-00386 (R-10)</t>
  </si>
  <si>
    <t>Transfer 31957</t>
  </si>
  <si>
    <t>MARABELES, JOSE .</t>
  </si>
  <si>
    <t>00028-00138 (R-10)</t>
  </si>
  <si>
    <t>2259-I-4-C-4</t>
  </si>
  <si>
    <t>Don Felipe Larrazabal</t>
  </si>
  <si>
    <t>MARABELES, SERGIA .</t>
  </si>
  <si>
    <t>00028-00150 (R-10)</t>
  </si>
  <si>
    <t>6-B-2-G</t>
  </si>
  <si>
    <t>MARIBAO, ENRIQUETA L.</t>
  </si>
  <si>
    <t>00019-01369 (R-10)</t>
  </si>
  <si>
    <t>2220-C-2-H-9</t>
  </si>
  <si>
    <t>road</t>
  </si>
  <si>
    <t>MARQUEZ, RODOLFO .</t>
  </si>
  <si>
    <t>00005-00219 (R-10)</t>
  </si>
  <si>
    <t>Bantigue</t>
  </si>
  <si>
    <t xml:space="preserve">RL / ROAD </t>
  </si>
  <si>
    <t>rtr</t>
  </si>
  <si>
    <t>MARTINEZ (HRS. OF), RAFAEL .</t>
  </si>
  <si>
    <t>00021-00208 (R-10)</t>
  </si>
  <si>
    <t>6225-H-1-E</t>
  </si>
  <si>
    <t>00021-00209 (R-10)</t>
  </si>
  <si>
    <t>6225-H-7-M</t>
  </si>
  <si>
    <t>00021-00210 (R-10)</t>
  </si>
  <si>
    <t>6225-H-1-N</t>
  </si>
  <si>
    <t>AL / CANAL</t>
  </si>
  <si>
    <t>00021-00212 (R-10)</t>
  </si>
  <si>
    <t>6225-H-1-O</t>
  </si>
  <si>
    <t>00021-00213 (R-10)</t>
  </si>
  <si>
    <t>6225-H-1-P</t>
  </si>
  <si>
    <t>MARTINEZ, ADOLFO .</t>
  </si>
  <si>
    <t>00057-00384 (R-10)</t>
  </si>
  <si>
    <t>LOT 29</t>
  </si>
  <si>
    <t>00057-00390 (R-10)</t>
  </si>
  <si>
    <t>LOT 19-S</t>
  </si>
  <si>
    <t>MARTINEZ, MARIA ANGELINA .</t>
  </si>
  <si>
    <t>00021-00388 (R-10)</t>
  </si>
  <si>
    <t>6225-C-2-J</t>
  </si>
  <si>
    <t xml:space="preserve">MARTINEZ, TERESITA </t>
  </si>
  <si>
    <t>00057-00418 (R-10)</t>
  </si>
  <si>
    <t>MATUGUINA, AMELIA ANTIG</t>
  </si>
  <si>
    <t>00073-02203 (R-10)</t>
  </si>
  <si>
    <t>LOT 5288-A-7-C</t>
  </si>
  <si>
    <t>RL/ BARANGAY SITE</t>
  </si>
  <si>
    <t>MATUGUINA, ANANIA .</t>
  </si>
  <si>
    <t>00012-00068 (R-10)</t>
  </si>
  <si>
    <t>MEJIA, FELIZA VDA. DE Z</t>
  </si>
  <si>
    <t>00031-00391 (R-10)</t>
  </si>
  <si>
    <t>RL/ OPEN SPACE BRGY SITE</t>
  </si>
  <si>
    <t>DONATED - PLAZA SA MEJIA</t>
  </si>
  <si>
    <t>MENDOLA, CRISTOBAL S</t>
  </si>
  <si>
    <t>00067-00580 (R-10)</t>
  </si>
  <si>
    <t>LOT 2439-B-1-G</t>
  </si>
  <si>
    <t>MENDOLA, FLORENCIO .</t>
  </si>
  <si>
    <t>00061-00108 (R-10)</t>
  </si>
  <si>
    <t>LOT 9048</t>
  </si>
  <si>
    <t>Monterico</t>
  </si>
  <si>
    <t>MENDOZA (HRS. OF), PERFECTA CABATINGAN</t>
  </si>
  <si>
    <t>00041-00504 (R-10)</t>
  </si>
  <si>
    <t>4-C</t>
  </si>
  <si>
    <t>MERCADO, BENITA C</t>
  </si>
  <si>
    <t>00019-00715 (R-10)</t>
  </si>
  <si>
    <t>TP-551</t>
  </si>
  <si>
    <t>CL / JICA FLOOD MITIGATION</t>
  </si>
  <si>
    <t>00019-00714 (R-10)</t>
  </si>
  <si>
    <t>O-392</t>
  </si>
  <si>
    <t>RL/ JICA FLOOD MITIGATION</t>
  </si>
  <si>
    <t>MERIN, MANUEL O</t>
  </si>
  <si>
    <t>00083-00465 (R-10)</t>
  </si>
  <si>
    <t>1-A-4</t>
  </si>
  <si>
    <t>MISTOLA, LOLITA P</t>
  </si>
  <si>
    <t>00072-00023 (R-10)</t>
  </si>
  <si>
    <t>San Antonio</t>
  </si>
  <si>
    <t>MONTEADORA, FRANCISCO A</t>
  </si>
  <si>
    <t>00035-00279 (R-10)</t>
  </si>
  <si>
    <t>MONTESCLAROS, GODOFREDO .</t>
  </si>
  <si>
    <t>00048-00443 (R-10)</t>
  </si>
  <si>
    <t>LOT 2373-B-45</t>
  </si>
  <si>
    <t>MORON, MICHAEL .</t>
  </si>
  <si>
    <t>00002-00165 (R-10)</t>
  </si>
  <si>
    <t>22647-Part</t>
  </si>
  <si>
    <t>NAZARIO, JAIME .</t>
  </si>
  <si>
    <t>00012-00034 (R-10)</t>
  </si>
  <si>
    <t>00012-00035 (R-10)</t>
  </si>
  <si>
    <t>NUEZ, TEOTIMO .</t>
  </si>
  <si>
    <t>00005-00261 (R-10)</t>
  </si>
  <si>
    <t>16613-part</t>
  </si>
  <si>
    <t>RL/ SUBDIVISION ROAD</t>
  </si>
  <si>
    <t>rtr 3/22/23</t>
  </si>
  <si>
    <t>OMEGA, FELICIANO .</t>
  </si>
  <si>
    <t>00083-00158 (R-10)</t>
  </si>
  <si>
    <t>LOT 5201-C</t>
  </si>
  <si>
    <t>OMEGA, JESUS .</t>
  </si>
  <si>
    <t>00083-00168 (R-10)</t>
  </si>
  <si>
    <t>Lot  5637-1-7</t>
  </si>
  <si>
    <t>OMEGA, JULIAN .</t>
  </si>
  <si>
    <t>00083-00170 (R-10)</t>
  </si>
  <si>
    <t>Lot 6062-P</t>
  </si>
  <si>
    <t>OMEGA, LEONARDA .</t>
  </si>
  <si>
    <t>00083-00475 (R-10)</t>
  </si>
  <si>
    <t>2-B-5</t>
  </si>
  <si>
    <t>00083-00477 (R-10)</t>
  </si>
  <si>
    <t>2-B-4-B</t>
  </si>
  <si>
    <t>00083-00479 (R-10)</t>
  </si>
  <si>
    <t>2-B-4-D</t>
  </si>
  <si>
    <t>OMEGA, PRAXEDES .</t>
  </si>
  <si>
    <t>00083-00500 (R-10)</t>
  </si>
  <si>
    <t>TCT# 121-2012000605</t>
  </si>
  <si>
    <t>OMEGA, PRIMITIVA .</t>
  </si>
  <si>
    <t>00083-00534 (R-10)</t>
  </si>
  <si>
    <t>LOT 6078-F-7</t>
  </si>
  <si>
    <t>OMEGA, SEGUNDINO</t>
  </si>
  <si>
    <t>00083-00292 (R-10)</t>
  </si>
  <si>
    <t>EP A-174384-H</t>
  </si>
  <si>
    <t xml:space="preserve">RL/AIRSTRIP </t>
  </si>
  <si>
    <t xml:space="preserve">OMEGA, SEGUNDINO </t>
  </si>
  <si>
    <t>00083-00313 (R-10)</t>
  </si>
  <si>
    <t>ORMOC SUGAR CO., INC., . .</t>
  </si>
  <si>
    <t>00038-00337 (R-10)</t>
  </si>
  <si>
    <t>Original 21051</t>
  </si>
  <si>
    <t>00038-00338 (R-10)</t>
  </si>
  <si>
    <t>Transfer 11994</t>
  </si>
  <si>
    <t>00038-00342 (R-10)</t>
  </si>
  <si>
    <t>00038-00343 (R-10)</t>
  </si>
  <si>
    <t>Original 23253</t>
  </si>
  <si>
    <t>00038-00344 (R-10)</t>
  </si>
  <si>
    <t>Transfer 15946</t>
  </si>
  <si>
    <t>00038-00345 (R-10)</t>
  </si>
  <si>
    <t>3133- Part</t>
  </si>
  <si>
    <t>00038-00346 (R-10)</t>
  </si>
  <si>
    <t>Transfer 7484</t>
  </si>
  <si>
    <t>00038-00347 (R-10)</t>
  </si>
  <si>
    <t>00038-00348 (R-10)</t>
  </si>
  <si>
    <t>Orginal 21863, 20836, 20877 &amp; 20755</t>
  </si>
  <si>
    <t>00038-00352 (R-10)</t>
  </si>
  <si>
    <t>00038-00354 (R-10)</t>
  </si>
  <si>
    <t>Transfer 8887</t>
  </si>
  <si>
    <t>00038-00355 (R-10)</t>
  </si>
  <si>
    <t>1744, 1732, 1731</t>
  </si>
  <si>
    <t>00038-00804 (R-10)</t>
  </si>
  <si>
    <t>IB</t>
  </si>
  <si>
    <t>OUANO, SILVESTRA .</t>
  </si>
  <si>
    <t>00020-00167 (R-10)</t>
  </si>
  <si>
    <t>PABILAN (HRS. OF), ANASTACIO .</t>
  </si>
  <si>
    <t>00072-00024 (R-10)</t>
  </si>
  <si>
    <t>LOT 1775-F</t>
  </si>
  <si>
    <t>PALOU, LAURA .</t>
  </si>
  <si>
    <t>00005-00288 (R-10)</t>
  </si>
  <si>
    <t>978-A</t>
  </si>
  <si>
    <t>PAREJA, ROMANA .</t>
  </si>
  <si>
    <t>00082-00234 (R-10)</t>
  </si>
  <si>
    <t>TCT 9227</t>
  </si>
  <si>
    <t>road -ok</t>
  </si>
  <si>
    <t>PARRILLA, JORGE .</t>
  </si>
  <si>
    <t>00084-00248 (R-10)</t>
  </si>
  <si>
    <t>PATEÑO, AGAPITO (HRS. OF) .</t>
  </si>
  <si>
    <t>00068-00204 (R-10)</t>
  </si>
  <si>
    <t>3943-PART</t>
  </si>
  <si>
    <t>PENSERGA, RODOLFO .</t>
  </si>
  <si>
    <t>00043-00086 (R-10)</t>
  </si>
  <si>
    <t>8758-A</t>
  </si>
  <si>
    <t>PENSERGA, RODOLFO C.</t>
  </si>
  <si>
    <t>00056-00241 (R-10)</t>
  </si>
  <si>
    <t>Manlilinao</t>
  </si>
  <si>
    <t>2000 3rd qrtr-2019</t>
  </si>
  <si>
    <t>PEPITO, FLORO .</t>
  </si>
  <si>
    <t>00020-00188 (R-10)</t>
  </si>
  <si>
    <t>7974-A</t>
  </si>
  <si>
    <t>PEPITO, ISIDRO .</t>
  </si>
  <si>
    <t>00073-01100 (R-10)</t>
  </si>
  <si>
    <t>LOT 5278-A-3-B-2-B</t>
  </si>
  <si>
    <t>00073-01322 (R-10)</t>
  </si>
  <si>
    <t>00073-01323 (R-10)</t>
  </si>
  <si>
    <t>00073-01424 (R-10)</t>
  </si>
  <si>
    <t>PEPITO, ISIDRO C.</t>
  </si>
  <si>
    <t>00073-01102 (R-10)</t>
  </si>
  <si>
    <t>LOT 5278-A3-B-2-B</t>
  </si>
  <si>
    <t>00073-01109 (R-10)</t>
  </si>
  <si>
    <t>00073-01111 (R-10)</t>
  </si>
  <si>
    <t>LOT 5278-A-3-B-2-B-11-B-1</t>
  </si>
  <si>
    <t>PEREZ, ANTONIO .</t>
  </si>
  <si>
    <t>00021-00635 (R-10)</t>
  </si>
  <si>
    <t>6225-C-4-A-2-A</t>
  </si>
  <si>
    <t>00021-00638 (R-10)</t>
  </si>
  <si>
    <t>6225-C-4-A-2-D</t>
  </si>
  <si>
    <t>PHILIPPINE NATIONAL BANK (ORMOC BRANCH), . .</t>
  </si>
  <si>
    <t>00037-00115 (R-10)</t>
  </si>
  <si>
    <t>Transfer TO-305</t>
  </si>
  <si>
    <t>00038-00381 (R-10)</t>
  </si>
  <si>
    <t>01011-00075 (R-10)</t>
  </si>
  <si>
    <t>District 11</t>
  </si>
  <si>
    <t>00043-00088 (R-10)</t>
  </si>
  <si>
    <t>TCT # 18355</t>
  </si>
  <si>
    <t>00067-01178 (R-10)</t>
  </si>
  <si>
    <t>00068-00232 (R-10)</t>
  </si>
  <si>
    <t>Transfer FP- 276</t>
  </si>
  <si>
    <t>00055-00111 (R-10)</t>
  </si>
  <si>
    <t>TP-307</t>
  </si>
  <si>
    <t>00055-00113 (R-10)</t>
  </si>
  <si>
    <t>TP-284</t>
  </si>
  <si>
    <t>POLIDO, EDGARDO .</t>
  </si>
  <si>
    <t>00048-00527 (R-10)</t>
  </si>
  <si>
    <t>2376-H-2-B-3-G</t>
  </si>
  <si>
    <t>donated to brgy</t>
  </si>
  <si>
    <t>PONGOS, AGAPITO .</t>
  </si>
  <si>
    <t>00021-00241 (R-10)</t>
  </si>
  <si>
    <t>T-8724-part</t>
  </si>
  <si>
    <t>RL / CANAL</t>
  </si>
  <si>
    <t>00021-00242 (R-10)</t>
  </si>
  <si>
    <t>RL/ CHAPEL AND PART OF BASKETBALL COURT</t>
  </si>
  <si>
    <t>00021-00243 (R-10)</t>
  </si>
  <si>
    <t>00021-00247 (R-10)</t>
  </si>
  <si>
    <t>00021-00254 (R-10)</t>
  </si>
  <si>
    <t>PONGOS, AGAPITO S. SR</t>
  </si>
  <si>
    <t>00037-00125 (R-10)</t>
  </si>
  <si>
    <t>00037-00130 (R-10)</t>
  </si>
  <si>
    <t>00037-00140 (R-10)</t>
  </si>
  <si>
    <t>Transfer 5469</t>
  </si>
  <si>
    <t>00037-00141 (R-10)</t>
  </si>
  <si>
    <t>Original 24459</t>
  </si>
  <si>
    <t>00037-00150 (R-10)</t>
  </si>
  <si>
    <t>00037-00155 (R-10)</t>
  </si>
  <si>
    <t>PONGOS, EDUARDO .</t>
  </si>
  <si>
    <t>00037-00159 (R-10)</t>
  </si>
  <si>
    <t>P-525</t>
  </si>
  <si>
    <t>00037-00160 (R-10)</t>
  </si>
  <si>
    <t>P-39</t>
  </si>
  <si>
    <t>PONGOS, FAUSTO (HRS OF) .</t>
  </si>
  <si>
    <t>00083-00217 (R-10)</t>
  </si>
  <si>
    <t>5872-A</t>
  </si>
  <si>
    <t>PONGOS, SIXTO .</t>
  </si>
  <si>
    <t>00068-00264 (R-10)</t>
  </si>
  <si>
    <t>PONGOS, SIXTO T</t>
  </si>
  <si>
    <t>00068-00263 (R-10)</t>
  </si>
  <si>
    <t>PONO, DIOSCORO .</t>
  </si>
  <si>
    <t>00019-00887 (R-10)</t>
  </si>
  <si>
    <t>Transfer 10365 &amp; 10364</t>
  </si>
  <si>
    <t>abandon house</t>
  </si>
  <si>
    <t>00019-01956 (R-10)</t>
  </si>
  <si>
    <t>PONO, DONATO .</t>
  </si>
  <si>
    <t>00042-00303 (R-10)</t>
  </si>
  <si>
    <t>6155-C-PART</t>
  </si>
  <si>
    <t>Lao</t>
  </si>
  <si>
    <t>PONO, TRINIDAD .</t>
  </si>
  <si>
    <t>00055-00114 (R-10)</t>
  </si>
  <si>
    <t>P-560</t>
  </si>
  <si>
    <t>PORCADILLA, BREÑA V</t>
  </si>
  <si>
    <t>00009-00327 (R-10)</t>
  </si>
  <si>
    <t>Transfer 4048</t>
  </si>
  <si>
    <t>Boroc</t>
  </si>
  <si>
    <t>PORCADILLA, HIPOLITO .</t>
  </si>
  <si>
    <t>00009-00328 (R-10)</t>
  </si>
  <si>
    <t>LOT 4128</t>
  </si>
  <si>
    <t>POTOY, MANUEL .</t>
  </si>
  <si>
    <t>00019-00893 (R-10)</t>
  </si>
  <si>
    <t>2179-PART</t>
  </si>
  <si>
    <t>PROGOSONS CONSTRUCTION &amp; DEVELOPMENT CORPORATION, . .</t>
  </si>
  <si>
    <t>00057-00542 (R-10)</t>
  </si>
  <si>
    <t>LOT 14-R</t>
  </si>
  <si>
    <t>00057-00543 (R-10)</t>
  </si>
  <si>
    <t>LOT 28</t>
  </si>
  <si>
    <t>00057-00549 (R-10)</t>
  </si>
  <si>
    <t>LOT 16-T</t>
  </si>
  <si>
    <t>RL/ IRRIG CANAL</t>
  </si>
  <si>
    <t>00057-00550 (R-10)</t>
  </si>
  <si>
    <t>LOT 31</t>
  </si>
  <si>
    <t>00057-00586 (R-10)</t>
  </si>
  <si>
    <t>LOT 9-K</t>
  </si>
  <si>
    <t>00057-00587 (R-10)</t>
  </si>
  <si>
    <t>LOT 8-P</t>
  </si>
  <si>
    <t>00057-00600 (R-10)</t>
  </si>
  <si>
    <t>LOT 9-F</t>
  </si>
  <si>
    <t>00057-00602 (R-10)</t>
  </si>
  <si>
    <t>LOT 8-R</t>
  </si>
  <si>
    <t>00057-00607 (R-10)</t>
  </si>
  <si>
    <t>LOT 6-O</t>
  </si>
  <si>
    <t>00057-00608 (R-10)</t>
  </si>
  <si>
    <t>LOT 5-L</t>
  </si>
  <si>
    <t>00057-00539 (R-10)</t>
  </si>
  <si>
    <t>B-1</t>
  </si>
  <si>
    <t>PUBLIC LAND, . .</t>
  </si>
  <si>
    <t>00012-00046 (R-10)</t>
  </si>
  <si>
    <t>00012-00047 (R-10)</t>
  </si>
  <si>
    <t>NO ONE TO RECEIVED</t>
  </si>
  <si>
    <t>QUILANTANG, GREGORIO .</t>
  </si>
  <si>
    <t>00035-00307 (R-10)</t>
  </si>
  <si>
    <t>8735-U</t>
  </si>
  <si>
    <t>00035-00308 (R-10)</t>
  </si>
  <si>
    <t>8735-E</t>
  </si>
  <si>
    <t>00035-00309 (R-10)</t>
  </si>
  <si>
    <t>8735-N</t>
  </si>
  <si>
    <t>00035-00310 (R-10)</t>
  </si>
  <si>
    <t>8735-M</t>
  </si>
  <si>
    <t>RAMONIDA, DOMINGO .</t>
  </si>
  <si>
    <t>01001-00028 (R-10)</t>
  </si>
  <si>
    <t>District 1</t>
  </si>
  <si>
    <t>CL/ BRGY SITE</t>
  </si>
  <si>
    <t>REGULACION, CRISTINA .</t>
  </si>
  <si>
    <t>00057-00633 (R-10)</t>
  </si>
  <si>
    <t>LOT 6199-PART</t>
  </si>
  <si>
    <t>REPOLLO, ODELON A</t>
  </si>
  <si>
    <t>00084-00757 (R-10)</t>
  </si>
  <si>
    <t>3./29/23</t>
  </si>
  <si>
    <t>REPONTE, ALEJANDRO .</t>
  </si>
  <si>
    <t>00004-00571 (R-10)</t>
  </si>
  <si>
    <t>TRANSFER 30161</t>
  </si>
  <si>
    <t>RIVERA, PETRA .</t>
  </si>
  <si>
    <t>00074-00400 (R-10)</t>
  </si>
  <si>
    <t>LOT 6489</t>
  </si>
  <si>
    <t>ROLDAN, PRIMITIVO .</t>
  </si>
  <si>
    <t>00082-00583 (R-10)</t>
  </si>
  <si>
    <t>LOT 8405-A-2-F-2-C</t>
  </si>
  <si>
    <t>RURAL BANK OF ORMOC CITY, INC., . .</t>
  </si>
  <si>
    <t>00034-00187 (R-10)</t>
  </si>
  <si>
    <t>TH-597</t>
  </si>
  <si>
    <t>Green Valley</t>
  </si>
  <si>
    <t>SABANDO, TEODOLFO .</t>
  </si>
  <si>
    <t>00048-00599 (R-10)</t>
  </si>
  <si>
    <t>PUBLIC LAND FOREST</t>
  </si>
  <si>
    <t>SACAY, EPIFANIO .</t>
  </si>
  <si>
    <t>01027-00022 (R-10)</t>
  </si>
  <si>
    <t>District 27</t>
  </si>
  <si>
    <t>dili na sila ang tag-eya-OK</t>
  </si>
  <si>
    <t>SALINAS, ISIDERIO .</t>
  </si>
  <si>
    <t>00083-00263 (R-10)</t>
  </si>
  <si>
    <t>SALINAS, TERESITA .</t>
  </si>
  <si>
    <t>00083-00386 (R-10)</t>
  </si>
  <si>
    <t>5872-E-1-A</t>
  </si>
  <si>
    <t>RL/AIRSTRIP</t>
  </si>
  <si>
    <t>SAMPATON, ZOILO .</t>
  </si>
  <si>
    <t>01020-00070 (R-8)</t>
  </si>
  <si>
    <t>Original 13271</t>
  </si>
  <si>
    <t>District 20</t>
  </si>
  <si>
    <t>SOLD 3/22/23-OK</t>
  </si>
  <si>
    <t>SAMSON, RAYMUNDO .</t>
  </si>
  <si>
    <t>00048-00606 (R-10)</t>
  </si>
  <si>
    <t>LOT 2373-B-32</t>
  </si>
  <si>
    <t>SAYSON, ADOLFO .</t>
  </si>
  <si>
    <t>00048-00616 (R-10)</t>
  </si>
  <si>
    <t>SEDIGO, CRISTINA .</t>
  </si>
  <si>
    <t>00009-00776 (R-10)</t>
  </si>
  <si>
    <t>2737-D</t>
  </si>
  <si>
    <t>00009-00777 (R-10)</t>
  </si>
  <si>
    <t>2737-A</t>
  </si>
  <si>
    <t>00009-00778 (R-10)</t>
  </si>
  <si>
    <t>2737-E</t>
  </si>
  <si>
    <t>00009-00779 (R-10)</t>
  </si>
  <si>
    <t>2737-F</t>
  </si>
  <si>
    <t>SEDIGO, FELICITA .</t>
  </si>
  <si>
    <t>00009-00352 (R-10)</t>
  </si>
  <si>
    <t>Transfer 12745</t>
  </si>
  <si>
    <t>SEDIGO, FRANSCISCO .</t>
  </si>
  <si>
    <t>00009-00353 (R-10)</t>
  </si>
  <si>
    <t>SEDIGO, GLORIA .</t>
  </si>
  <si>
    <t>00009-00354 (R-10)</t>
  </si>
  <si>
    <t>Transfer 12513</t>
  </si>
  <si>
    <t>00009-00355 (R-10)</t>
  </si>
  <si>
    <t>SEDIGO, NICANDRO .</t>
  </si>
  <si>
    <t>00009-00361 (R-10)</t>
  </si>
  <si>
    <t>Transfer 16826</t>
  </si>
  <si>
    <t>2001-2019</t>
  </si>
  <si>
    <t>00009-00362 (R-10)</t>
  </si>
  <si>
    <t>Transfer 178</t>
  </si>
  <si>
    <t>2003-2019</t>
  </si>
  <si>
    <t>SEDILLO, MELANIO .</t>
  </si>
  <si>
    <t>00073-01241 (R-10)</t>
  </si>
  <si>
    <t>00073-01610 (R-10)</t>
  </si>
  <si>
    <t>LOT 5282-B-5-C-1</t>
  </si>
  <si>
    <t>SEGUIDO (HRS. OF), APOLONIO .</t>
  </si>
  <si>
    <t>00055-00127 (R-10)</t>
  </si>
  <si>
    <t>LOT 3892</t>
  </si>
  <si>
    <t>SEGUIDO, SIMEON .</t>
  </si>
  <si>
    <t>00055-00130 (R-10)</t>
  </si>
  <si>
    <t>LOT 3904</t>
  </si>
  <si>
    <t>SELEDIO, TORIBIO .</t>
  </si>
  <si>
    <t>00017-00109 (R-10)</t>
  </si>
  <si>
    <t>TCT# 5778-Part</t>
  </si>
  <si>
    <t>SERAFICA, EDUARDO S</t>
  </si>
  <si>
    <t>00020-00427 (R-10)</t>
  </si>
  <si>
    <t>8023-A</t>
  </si>
  <si>
    <t>RL / PART OF NATIONAL HIGH SCHOOL</t>
  </si>
  <si>
    <t>SERAFICA, HERMINIGILDO</t>
  </si>
  <si>
    <t>00062-00218 (R-10)</t>
  </si>
  <si>
    <t>SERAFICA, HERMINIGILDO .</t>
  </si>
  <si>
    <t>00083-00272 (R-10)</t>
  </si>
  <si>
    <t>6058-N</t>
  </si>
  <si>
    <t>00083-00315 (R-10)</t>
  </si>
  <si>
    <t>6009-K-11</t>
  </si>
  <si>
    <t>AL/AIRSTRIP</t>
  </si>
  <si>
    <t>00083-00316 (R-10)</t>
  </si>
  <si>
    <t>6009-K-12</t>
  </si>
  <si>
    <t xml:space="preserve">AL/AIRSTRIP </t>
  </si>
  <si>
    <t>00083-00317 (R-10)</t>
  </si>
  <si>
    <t>6009-K-21</t>
  </si>
  <si>
    <t>00083-00318 (R-10)</t>
  </si>
  <si>
    <t>6009-K-3</t>
  </si>
  <si>
    <t>00083-00319 (R-10)</t>
  </si>
  <si>
    <t>6009-K-4</t>
  </si>
  <si>
    <t>00083-00320 (R-10)</t>
  </si>
  <si>
    <t>6009-K-5</t>
  </si>
  <si>
    <t>AL/CANAL</t>
  </si>
  <si>
    <t>00083-00321 (R-10)</t>
  </si>
  <si>
    <t>6009-K-6</t>
  </si>
  <si>
    <t>00083-00322 (R-10)</t>
  </si>
  <si>
    <t>6009-K-9</t>
  </si>
  <si>
    <t>00083-00323 (R-10)</t>
  </si>
  <si>
    <t>6009-K-10</t>
  </si>
  <si>
    <t>00083-00326 (R-10)</t>
  </si>
  <si>
    <t>6009-K-13</t>
  </si>
  <si>
    <t>00083-00327 (R-10)</t>
  </si>
  <si>
    <t>6009-K-14</t>
  </si>
  <si>
    <t>00083-00328 (R-10)</t>
  </si>
  <si>
    <t>6009-K-15</t>
  </si>
  <si>
    <t>00083-00329 (R-10)</t>
  </si>
  <si>
    <t>6009-K-16</t>
  </si>
  <si>
    <t>00083-00330 (R-10)</t>
  </si>
  <si>
    <t>6009-K-18</t>
  </si>
  <si>
    <t>00083-00331 (R-10)</t>
  </si>
  <si>
    <t>6009-K-19</t>
  </si>
  <si>
    <t>01005-00056 (R-10)</t>
  </si>
  <si>
    <t>District 5</t>
  </si>
  <si>
    <t>01007-00073 (R-10)</t>
  </si>
  <si>
    <t>District 7</t>
  </si>
  <si>
    <t>CL / RROW</t>
  </si>
  <si>
    <t>SINGSON, BENEDICTO C.</t>
  </si>
  <si>
    <t>00021-00283 (R-10)</t>
  </si>
  <si>
    <t>T-2667</t>
  </si>
  <si>
    <t>SINGSON, SEVERINO .</t>
  </si>
  <si>
    <t>00021-00290 (R-10)</t>
  </si>
  <si>
    <t>T-2438</t>
  </si>
  <si>
    <t>SIROY, LEONARDO .</t>
  </si>
  <si>
    <t>00083-00372 (R-10)</t>
  </si>
  <si>
    <t>SMART COMMUNICATION, INC., . .</t>
  </si>
  <si>
    <t>00020-01713 (R-10)</t>
  </si>
  <si>
    <t>SUMALJAG, DOMINADOR .</t>
  </si>
  <si>
    <t>00005-00365 (R-10)</t>
  </si>
  <si>
    <t>23581-part</t>
  </si>
  <si>
    <t>5/19/2-rts</t>
  </si>
  <si>
    <t>SUMALJAG, JUAN .</t>
  </si>
  <si>
    <t>00005-00366 (R-10)</t>
  </si>
  <si>
    <t>1659-C</t>
  </si>
  <si>
    <t>SUMALJAG, RUFINO .</t>
  </si>
  <si>
    <t>00084-00148 (R-10)</t>
  </si>
  <si>
    <t>Original 20101</t>
  </si>
  <si>
    <t>SOLD NA PERO WALA CLA KAILA SA NAKAPALIT</t>
  </si>
  <si>
    <t>SUSON, VICENTE .</t>
  </si>
  <si>
    <t>00074-00453 (R-10)</t>
  </si>
  <si>
    <t>TAMPOS, FELICITACION .</t>
  </si>
  <si>
    <t>00048-00642 (R-10)</t>
  </si>
  <si>
    <t>LOT 5125-B-3-B-3-B-1</t>
  </si>
  <si>
    <t>TAN, ANTONIO B.</t>
  </si>
  <si>
    <t>00068-00306 (R-10)</t>
  </si>
  <si>
    <t>5823-Part</t>
  </si>
  <si>
    <t>TAN, CONSUELO .</t>
  </si>
  <si>
    <t>01005-00061 (R-10)</t>
  </si>
  <si>
    <t>TAN, EDUARDO P</t>
  </si>
  <si>
    <t>00049-00246 (R-10)</t>
  </si>
  <si>
    <t>00049-00249 (R-10)</t>
  </si>
  <si>
    <t>00049-00250 (R-10)</t>
  </si>
  <si>
    <t>TAN, ESPERANZA .</t>
  </si>
  <si>
    <t>00017-00270 (R-10)</t>
  </si>
  <si>
    <t>TCT# 51472</t>
  </si>
  <si>
    <t>IL / ROAD</t>
  </si>
  <si>
    <t>TAN, JORGE JR. P</t>
  </si>
  <si>
    <t>00049-00422 (R-10)</t>
  </si>
  <si>
    <t>TAN, LUIS .</t>
  </si>
  <si>
    <t>00038-00521 (R-10)</t>
  </si>
  <si>
    <t>LOT 13-F</t>
  </si>
  <si>
    <t>00038-00522 (R-10)</t>
  </si>
  <si>
    <t>LOT 12-E</t>
  </si>
  <si>
    <t>00038-00524 (R-10)</t>
  </si>
  <si>
    <t>LOT 13-D</t>
  </si>
  <si>
    <t>00038-00526 (R-10)</t>
  </si>
  <si>
    <t>LOT 13-I</t>
  </si>
  <si>
    <t>00038-00527 (R-10)</t>
  </si>
  <si>
    <t>LOT 13-B</t>
  </si>
  <si>
    <t>00038-00528 (R-10)</t>
  </si>
  <si>
    <t>LOT 13-A</t>
  </si>
  <si>
    <t>TAN, MANUEL P</t>
  </si>
  <si>
    <t>00052-00177 (R-10)</t>
  </si>
  <si>
    <t>3533-A</t>
  </si>
  <si>
    <t>TAN, MARIA PALOU</t>
  </si>
  <si>
    <t>00005-01350 (R-10)</t>
  </si>
  <si>
    <t>1649-B-3-B-8</t>
  </si>
  <si>
    <t>TAN, VILMA .</t>
  </si>
  <si>
    <t>00082-00364 (R-10)</t>
  </si>
  <si>
    <t>TCT 34363</t>
  </si>
  <si>
    <t>00082-00365 (R-10)</t>
  </si>
  <si>
    <t>TCT 34364</t>
  </si>
  <si>
    <t>00082-00368 (R-10)</t>
  </si>
  <si>
    <t>TCT 34367</t>
  </si>
  <si>
    <t>00082-00370 (R-10)</t>
  </si>
  <si>
    <t>TCT 34369</t>
  </si>
  <si>
    <t>00082-00373 (R-10)</t>
  </si>
  <si>
    <t>TCT 34372</t>
  </si>
  <si>
    <t>pk</t>
  </si>
  <si>
    <t>00082-00910 (R-10)</t>
  </si>
  <si>
    <t>LOT 9440-D-8-B-2</t>
  </si>
  <si>
    <t>TAN-MARTINEZ CORPORATION, . .</t>
  </si>
  <si>
    <t>00072-00130 (R-10)</t>
  </si>
  <si>
    <t>ROAD LOT</t>
  </si>
  <si>
    <t>2009 -2019</t>
  </si>
  <si>
    <t>San Antonio/ e auction ni</t>
  </si>
  <si>
    <t>TAWOY, JUAN .</t>
  </si>
  <si>
    <t>00004-00663 (R-10)</t>
  </si>
  <si>
    <t>THE COMMUNITY OF THE BENEDICTINE SISTERS OF ORMOC, . .</t>
  </si>
  <si>
    <t>00038-01161 (R-10)</t>
  </si>
  <si>
    <t>TCT# 42460</t>
  </si>
  <si>
    <t>00038-01168 (R-10)</t>
  </si>
  <si>
    <t>TCT# 41530</t>
  </si>
  <si>
    <t>00038-01173 (R-10)</t>
  </si>
  <si>
    <t>00038-01174 (R-10)</t>
  </si>
  <si>
    <t>LOT 14-F-1-I-4</t>
  </si>
  <si>
    <t>00038-01184 (R-10)</t>
  </si>
  <si>
    <t>00038-01187 (R-10)</t>
  </si>
  <si>
    <t>TCT# 43734</t>
  </si>
  <si>
    <t>00038-01191 (R-10)</t>
  </si>
  <si>
    <t>Transfer 41186</t>
  </si>
  <si>
    <t>00038-01192 (R-10)</t>
  </si>
  <si>
    <t>Transfer 41189</t>
  </si>
  <si>
    <t>RL/ MULTI PURPOSE HALL CHURCH SITE</t>
  </si>
  <si>
    <t>00038-01193 (R-10)</t>
  </si>
  <si>
    <t>LOT 14-F-8</t>
  </si>
  <si>
    <t>TICONG, VIRGINIA .</t>
  </si>
  <si>
    <t>00048-00663 (R-10)</t>
  </si>
  <si>
    <t>LOT 5124-A-3-B-3</t>
  </si>
  <si>
    <t xml:space="preserve">TOLEDO, ANASTACIA </t>
  </si>
  <si>
    <t>00066-00263 (R-10)</t>
  </si>
  <si>
    <t>LOT 2824-PART</t>
  </si>
  <si>
    <t>Patag</t>
  </si>
  <si>
    <t>TOLEDO, FE T</t>
  </si>
  <si>
    <t>00017-00203 (R-10)</t>
  </si>
  <si>
    <t>RTS</t>
  </si>
  <si>
    <t>ask mam dels ug for auction ba ug road dili e auction anay</t>
  </si>
  <si>
    <t>TOMADA, ROSEMARIE T</t>
  </si>
  <si>
    <t>00017-00246 (R-10)</t>
  </si>
  <si>
    <t>TCT# 50198</t>
  </si>
  <si>
    <t>2008 3rd qrtr-2019</t>
  </si>
  <si>
    <t>RTS 3/22/23</t>
  </si>
  <si>
    <t>00017-00249 (R-10)</t>
  </si>
  <si>
    <t>TCT# 50201</t>
  </si>
  <si>
    <t>00017-00254 (R-10)</t>
  </si>
  <si>
    <t>TCT# 50206</t>
  </si>
  <si>
    <t>00017-00342 (R-10)</t>
  </si>
  <si>
    <t>2135-D-2-G</t>
  </si>
  <si>
    <t>00017-00343 (R-10)</t>
  </si>
  <si>
    <t>LOT 2135-D-2-H</t>
  </si>
  <si>
    <t>TOMADA, TORIBIO .</t>
  </si>
  <si>
    <t>01027-00048 (R-9)</t>
  </si>
  <si>
    <t>RB/ROAD</t>
  </si>
  <si>
    <t>TOMAMPO, HIPOLITO (HRS. OF) .</t>
  </si>
  <si>
    <t>00037-00192 (R-10)</t>
  </si>
  <si>
    <t>P-543</t>
  </si>
  <si>
    <t>TOMORIC, ERLINDO .</t>
  </si>
  <si>
    <t>00049-00330 (R-10)</t>
  </si>
  <si>
    <t>TOMORIC, GUMERSINDO .</t>
  </si>
  <si>
    <t>00049-00331 (R-10)</t>
  </si>
  <si>
    <t>LOT 4506-D-2</t>
  </si>
  <si>
    <t>00049-00334 (R-10)</t>
  </si>
  <si>
    <t>LOT 4506-D-4-J</t>
  </si>
  <si>
    <t>TORING, JOVENAL B</t>
  </si>
  <si>
    <t>00083-00596 (R-10)</t>
  </si>
  <si>
    <t>TCT# 121-2018000009</t>
  </si>
  <si>
    <t xml:space="preserve">TORRALBA, NECITAS </t>
  </si>
  <si>
    <t>00020-00259 (R-10)</t>
  </si>
  <si>
    <t>TORRES, NICOLAS V</t>
  </si>
  <si>
    <t>01019-00094 (R-10)</t>
  </si>
  <si>
    <t>District 19</t>
  </si>
  <si>
    <t>TUALLA, PETRONILA L.</t>
  </si>
  <si>
    <t>00023-00150 (R-10)</t>
  </si>
  <si>
    <t>3481-J</t>
  </si>
  <si>
    <t>TUANDO, VICTORIA .</t>
  </si>
  <si>
    <t>00030-00341 (R-10)</t>
  </si>
  <si>
    <t>TUDIO, RICARDO .</t>
  </si>
  <si>
    <t>00009-00385 (R-10)</t>
  </si>
  <si>
    <t>LOT 2079-PART</t>
  </si>
  <si>
    <t>VAYDAL (HRS. OF) NAMELY:, CRISTITA .</t>
  </si>
  <si>
    <t>00048-00748 (R-10)</t>
  </si>
  <si>
    <t xml:space="preserve">VAYDAL, JUSTINIANO </t>
  </si>
  <si>
    <t>00048-00750 (R-10)</t>
  </si>
  <si>
    <t>VICTORIO, VENERANDO .</t>
  </si>
  <si>
    <t>00048-01081 (R-10)</t>
  </si>
  <si>
    <t xml:space="preserve">VILLAMOR (HRS. OF), JOVITO </t>
  </si>
  <si>
    <t>01017-00058 (R-10)</t>
  </si>
  <si>
    <t>OP-725</t>
  </si>
  <si>
    <t>District 17</t>
  </si>
  <si>
    <t>WAMPLER, VIRGINIA MIRALLES</t>
  </si>
  <si>
    <t>00048-00709 (R-10)</t>
  </si>
  <si>
    <t>20266-Part</t>
  </si>
  <si>
    <t>WENCESLAO, IGMEDIO .</t>
  </si>
  <si>
    <t>00033-00250 (R-10)</t>
  </si>
  <si>
    <t>YAP, MARCELA .</t>
  </si>
  <si>
    <t>00019-01176 (R-10)</t>
  </si>
  <si>
    <t>YCO, ROGELIO F</t>
  </si>
  <si>
    <t>00083-00298 (R-10)</t>
  </si>
  <si>
    <t>YNOT, ROLANDO .</t>
  </si>
  <si>
    <t>00048-00718 (R-10)</t>
  </si>
  <si>
    <t>YU, LETECIA M</t>
  </si>
  <si>
    <t>00024-00631 (R-10)</t>
  </si>
  <si>
    <t>ZAMORA, SILVERIO .</t>
  </si>
  <si>
    <t>00002-00287 (R-10)</t>
  </si>
  <si>
    <t>Lot 2512</t>
  </si>
  <si>
    <t>RL / NEW ANILAO RIVER</t>
  </si>
  <si>
    <t>ZAPATA, SOCORRO D</t>
  </si>
  <si>
    <t>00019-01332 (R-10)</t>
  </si>
  <si>
    <t>At any time before June 23, 2023, the owner of the real property or person having legal interest therein may stay the proceedings by paying the delinquent tax, the interest due thereon and the expenses of sale.</t>
  </si>
  <si>
    <t xml:space="preserve">Interested parties may register to the Public Auction Sale Secretariat at City Treasurer's Office starting </t>
  </si>
  <si>
    <t xml:space="preserve">June 22, 2023 from 8am to 5pm and June 23, 2023  from  8am to 4pm upon payment of </t>
  </si>
  <si>
    <t>Registration Fee in the amount of Php 10,000.00.</t>
  </si>
  <si>
    <t>CERTIFIED BY</t>
  </si>
  <si>
    <t>APPROVED BY:</t>
  </si>
  <si>
    <t>NOTED BY:</t>
  </si>
  <si>
    <t>DELIA C. VILBAR, CPA, MPA (SGD)</t>
  </si>
  <si>
    <t>VINCENT L. EMNAS (SGD)</t>
  </si>
  <si>
    <t>HON. LUCY TORRES GOMEZ (SGD)</t>
  </si>
  <si>
    <t>CITY TREASURER</t>
  </si>
  <si>
    <t>CITY ADMINISTRATOR</t>
  </si>
  <si>
    <t>CITY MAYOR</t>
  </si>
  <si>
    <t xml:space="preserve">       CHAIRMAN- PUBLIC AUCTION COMMITTEE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</si>
</sst>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9">
    <font>
      <sz val="11"/>
      <color theme="1"/>
      <name val="Calibri"/>
      <family val="2"/>
      <scheme val="minor"/>
    </font>
    <font>
      <sz val="11"/>
      <color theme="1"/>
      <name val="Calibri"/>
      <family val="2"/>
      <scheme val="minor"/>
    </font>
    <font>
      <b/>
      <sz val="10"/>
      <name val="Arial Unicode MS"/>
      <family val="2"/>
    </font>
    <font>
      <sz val="10"/>
      <name val="Calibri"/>
      <family val="2"/>
      <scheme val="minor"/>
    </font>
    <font>
      <b/>
      <sz val="8"/>
      <name val="Arial Unicode MS"/>
      <family val="2"/>
    </font>
    <font>
      <b/>
      <sz val="24"/>
      <name val="Arial Unicode MS"/>
      <family val="2"/>
    </font>
    <font>
      <sz val="10"/>
      <name val="Arial Unicode MS"/>
      <family val="2"/>
    </font>
    <font>
      <b/>
      <sz val="10"/>
      <name val="Arial Unicode MS"/>
    </font>
    <font>
      <sz val="8"/>
      <name val="Arial Unicode MS"/>
      <family val="2"/>
    </font>
    <font>
      <b/>
      <sz val="10"/>
      <name val="Calibri Light"/>
      <family val="2"/>
      <scheme val="major"/>
    </font>
    <font>
      <b/>
      <sz val="8"/>
      <name val="Calibri Light"/>
      <family val="2"/>
      <scheme val="major"/>
    </font>
    <font>
      <sz val="10"/>
      <name val="Calibri Light"/>
      <family val="2"/>
      <scheme val="major"/>
    </font>
    <font>
      <sz val="8"/>
      <name val="Calibri Light"/>
      <family val="2"/>
      <scheme val="major"/>
    </font>
    <font>
      <sz val="9"/>
      <name val="Calibri Light"/>
      <family val="2"/>
      <scheme val="major"/>
    </font>
    <font>
      <sz val="7"/>
      <name val="Calibri Light"/>
      <family val="2"/>
      <scheme val="major"/>
    </font>
    <font>
      <sz val="10"/>
      <name val="Arial"/>
      <family val="2"/>
    </font>
    <font>
      <sz val="8"/>
      <name val="Calibri"/>
      <family val="2"/>
      <scheme val="minor"/>
    </font>
    <font>
      <b/>
      <u/>
      <sz val="10"/>
      <name val="Calibri"/>
      <family val="2"/>
      <scheme val="minor"/>
    </font>
    <font>
      <b/>
      <u/>
      <sz val="10"/>
      <name val="Calibri Light"/>
      <family val="2"/>
      <scheme val="major"/>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66">
    <xf numFmtId="0" fontId="0" fillId="0" borderId="0" xfId="0"/>
    <xf numFmtId="0" fontId="2" fillId="2" borderId="0" xfId="0" applyFont="1" applyFill="1" applyAlignment="1">
      <alignment horizontal="center"/>
    </xf>
    <xf numFmtId="0" fontId="3" fillId="2" borderId="0" xfId="0" applyFont="1" applyFill="1"/>
    <xf numFmtId="0" fontId="2" fillId="2" borderId="0" xfId="0" applyFont="1" applyFill="1" applyAlignment="1">
      <alignment horizontal="center"/>
    </xf>
    <xf numFmtId="0" fontId="2" fillId="2" borderId="0" xfId="0" applyFont="1" applyFill="1" applyAlignment="1">
      <alignment horizontal="left" vertical="center" wrapText="1"/>
    </xf>
    <xf numFmtId="0" fontId="2" fillId="2" borderId="0" xfId="0" applyFont="1" applyFill="1" applyAlignment="1">
      <alignment horizontal="center" wrapText="1"/>
    </xf>
    <xf numFmtId="0" fontId="2" fillId="2" borderId="0" xfId="0" applyFont="1" applyFill="1" applyAlignment="1">
      <alignment wrapText="1"/>
    </xf>
    <xf numFmtId="43" fontId="2" fillId="2" borderId="0" xfId="1" applyFont="1" applyFill="1" applyAlignment="1"/>
    <xf numFmtId="0" fontId="4" fillId="2" borderId="0" xfId="0" applyFont="1" applyFill="1" applyAlignment="1">
      <alignment horizontal="center"/>
    </xf>
    <xf numFmtId="0" fontId="5" fillId="2" borderId="0" xfId="0" applyFont="1" applyFill="1" applyAlignment="1">
      <alignment horizontal="center"/>
    </xf>
    <xf numFmtId="43" fontId="2" fillId="2" borderId="0" xfId="1" applyFont="1" applyFill="1" applyAlignment="1">
      <alignment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applyFont="1" applyFill="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vertical="center" wrapText="1"/>
    </xf>
    <xf numFmtId="43" fontId="6" fillId="2" borderId="0" xfId="1" applyFont="1" applyFill="1" applyAlignment="1">
      <alignment vertical="center"/>
    </xf>
    <xf numFmtId="0" fontId="8" fillId="2" borderId="0" xfId="0" applyFont="1" applyFill="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1" xfId="0" applyFont="1" applyFill="1" applyBorder="1" applyAlignment="1">
      <alignment vertical="center" wrapText="1"/>
    </xf>
    <xf numFmtId="1" fontId="9" fillId="2" borderId="1" xfId="0" applyNumberFormat="1" applyFont="1" applyFill="1" applyBorder="1" applyAlignment="1">
      <alignment horizontal="center" vertical="center" wrapText="1"/>
    </xf>
    <xf numFmtId="43" fontId="9" fillId="2" borderId="1" xfId="1" applyFont="1" applyFill="1" applyBorder="1" applyAlignment="1">
      <alignment horizontal="center" vertical="center" wrapText="1"/>
    </xf>
    <xf numFmtId="43" fontId="10" fillId="2" borderId="1" xfId="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applyAlignment="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xf>
    <xf numFmtId="0" fontId="11" fillId="2" borderId="1" xfId="0" applyFont="1" applyFill="1" applyBorder="1" applyAlignment="1">
      <alignment vertical="center" wrapText="1"/>
    </xf>
    <xf numFmtId="1" fontId="11" fillId="2" borderId="1" xfId="0" applyNumberFormat="1" applyFont="1" applyFill="1" applyBorder="1" applyAlignment="1">
      <alignment horizontal="center" vertical="center" wrapText="1"/>
    </xf>
    <xf numFmtId="43" fontId="11" fillId="2" borderId="1" xfId="1" applyFont="1" applyFill="1" applyBorder="1" applyAlignment="1">
      <alignment vertical="center" wrapText="1"/>
    </xf>
    <xf numFmtId="43" fontId="12" fillId="2" borderId="1" xfId="1" applyFont="1" applyFill="1" applyBorder="1" applyAlignment="1">
      <alignment vertical="center" wrapText="1"/>
    </xf>
    <xf numFmtId="43" fontId="11" fillId="2" borderId="1" xfId="1" applyFont="1" applyFill="1" applyBorder="1" applyAlignment="1">
      <alignment horizontal="center" vertical="center" wrapText="1"/>
    </xf>
    <xf numFmtId="14" fontId="11" fillId="2" borderId="1" xfId="1" applyNumberFormat="1"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 xfId="0" applyFont="1" applyFill="1" applyBorder="1" applyAlignment="1">
      <alignment horizontal="center" wrapText="1"/>
    </xf>
    <xf numFmtId="0" fontId="11" fillId="2" borderId="1" xfId="0" applyFont="1" applyFill="1" applyBorder="1" applyAlignment="1">
      <alignment horizontal="center"/>
    </xf>
    <xf numFmtId="0" fontId="11" fillId="2" borderId="1" xfId="0" applyFont="1" applyFill="1" applyBorder="1" applyAlignment="1">
      <alignment wrapText="1"/>
    </xf>
    <xf numFmtId="1" fontId="11" fillId="2" borderId="1" xfId="0" applyNumberFormat="1" applyFont="1" applyFill="1" applyBorder="1" applyAlignment="1">
      <alignment horizontal="center" wrapText="1"/>
    </xf>
    <xf numFmtId="49" fontId="11" fillId="2" borderId="1" xfId="0" applyNumberFormat="1" applyFont="1" applyFill="1" applyBorder="1" applyAlignment="1">
      <alignment horizontal="center" wrapText="1"/>
    </xf>
    <xf numFmtId="43" fontId="11" fillId="2" borderId="1" xfId="1" applyFont="1" applyFill="1" applyBorder="1" applyAlignment="1">
      <alignment wrapText="1"/>
    </xf>
    <xf numFmtId="3" fontId="11" fillId="2" borderId="1" xfId="0" applyNumberFormat="1" applyFont="1" applyFill="1" applyBorder="1" applyAlignment="1">
      <alignment horizontal="center" wrapText="1"/>
    </xf>
    <xf numFmtId="43" fontId="12" fillId="2" borderId="1" xfId="1" applyFont="1" applyFill="1" applyBorder="1" applyAlignment="1">
      <alignment wrapText="1"/>
    </xf>
    <xf numFmtId="14" fontId="11" fillId="2" borderId="1" xfId="0" applyNumberFormat="1" applyFont="1" applyFill="1" applyBorder="1" applyAlignment="1">
      <alignment horizontal="center" wrapText="1"/>
    </xf>
    <xf numFmtId="43" fontId="11" fillId="2" borderId="1" xfId="1" applyFont="1" applyFill="1" applyBorder="1" applyAlignment="1">
      <alignment horizontal="center" wrapText="1"/>
    </xf>
    <xf numFmtId="14" fontId="11" fillId="2" borderId="1" xfId="1" applyNumberFormat="1" applyFont="1" applyFill="1" applyBorder="1" applyAlignment="1">
      <alignment horizontal="center" wrapText="1"/>
    </xf>
    <xf numFmtId="0" fontId="11" fillId="2" borderId="2" xfId="0" applyFont="1" applyFill="1" applyBorder="1" applyAlignment="1">
      <alignment horizontal="center" wrapText="1"/>
    </xf>
    <xf numFmtId="0" fontId="11" fillId="2" borderId="0" xfId="0" applyFont="1" applyFill="1" applyAlignment="1">
      <alignment horizontal="center" wrapText="1"/>
    </xf>
    <xf numFmtId="0" fontId="11" fillId="2" borderId="1" xfId="0" applyFont="1" applyFill="1" applyBorder="1" applyAlignment="1">
      <alignment horizontal="left" vertical="center"/>
    </xf>
    <xf numFmtId="0" fontId="12" fillId="2" borderId="1" xfId="0" applyFont="1" applyFill="1" applyBorder="1"/>
    <xf numFmtId="1" fontId="11" fillId="2" borderId="0" xfId="0" applyNumberFormat="1" applyFont="1" applyFill="1" applyAlignment="1">
      <alignment horizontal="center"/>
    </xf>
    <xf numFmtId="49" fontId="11" fillId="2" borderId="1" xfId="0" applyNumberFormat="1" applyFont="1" applyFill="1" applyBorder="1" applyAlignment="1">
      <alignment horizontal="center"/>
    </xf>
    <xf numFmtId="43" fontId="11" fillId="2" borderId="1" xfId="1" applyFont="1" applyFill="1" applyBorder="1" applyAlignment="1"/>
    <xf numFmtId="3" fontId="11" fillId="2" borderId="1" xfId="0" applyNumberFormat="1" applyFont="1" applyFill="1" applyBorder="1" applyAlignment="1">
      <alignment horizontal="center"/>
    </xf>
    <xf numFmtId="43" fontId="12" fillId="2" borderId="1" xfId="1" applyFont="1" applyFill="1" applyBorder="1" applyAlignment="1"/>
    <xf numFmtId="14" fontId="11" fillId="2" borderId="1" xfId="0" applyNumberFormat="1" applyFont="1" applyFill="1" applyBorder="1" applyAlignment="1">
      <alignment horizontal="center"/>
    </xf>
    <xf numFmtId="43" fontId="11" fillId="2" borderId="1" xfId="1" applyFont="1" applyFill="1" applyBorder="1" applyAlignment="1">
      <alignment horizontal="center"/>
    </xf>
    <xf numFmtId="14" fontId="11" fillId="2" borderId="1" xfId="1" applyNumberFormat="1" applyFont="1" applyFill="1" applyBorder="1" applyAlignment="1">
      <alignment horizontal="center"/>
    </xf>
    <xf numFmtId="0" fontId="11" fillId="2" borderId="2" xfId="0" applyFont="1" applyFill="1" applyBorder="1" applyAlignment="1">
      <alignment horizontal="center"/>
    </xf>
    <xf numFmtId="0" fontId="11" fillId="2" borderId="0" xfId="0" applyFont="1" applyFill="1" applyAlignment="1">
      <alignment horizontal="center"/>
    </xf>
    <xf numFmtId="0" fontId="11" fillId="2" borderId="1" xfId="0" applyFont="1" applyFill="1" applyBorder="1"/>
    <xf numFmtId="1" fontId="11" fillId="2" borderId="1" xfId="0" applyNumberFormat="1" applyFont="1" applyFill="1" applyBorder="1" applyAlignment="1">
      <alignment horizontal="center"/>
    </xf>
    <xf numFmtId="0" fontId="12" fillId="2" borderId="1" xfId="0" applyFont="1" applyFill="1" applyBorder="1" applyAlignment="1">
      <alignment horizontal="center"/>
    </xf>
    <xf numFmtId="4" fontId="11" fillId="2" borderId="1" xfId="0" applyNumberFormat="1" applyFont="1" applyFill="1" applyBorder="1" applyAlignment="1">
      <alignment wrapText="1"/>
    </xf>
    <xf numFmtId="4" fontId="11" fillId="2" borderId="1" xfId="0" applyNumberFormat="1" applyFont="1" applyFill="1" applyBorder="1" applyAlignment="1">
      <alignment horizontal="center" wrapText="1"/>
    </xf>
    <xf numFmtId="14" fontId="11" fillId="2" borderId="2" xfId="0" applyNumberFormat="1" applyFont="1" applyFill="1" applyBorder="1" applyAlignment="1">
      <alignment horizontal="center" wrapText="1"/>
    </xf>
    <xf numFmtId="1" fontId="11" fillId="2" borderId="2" xfId="0" applyNumberFormat="1" applyFont="1" applyFill="1" applyBorder="1" applyAlignment="1">
      <alignment horizontal="center"/>
    </xf>
    <xf numFmtId="49" fontId="11" fillId="2" borderId="0" xfId="0" applyNumberFormat="1" applyFont="1" applyFill="1" applyAlignment="1">
      <alignment horizontal="center" wrapText="1"/>
    </xf>
    <xf numFmtId="0" fontId="11" fillId="2" borderId="1" xfId="0" applyFont="1" applyFill="1" applyBorder="1" applyAlignment="1">
      <alignment horizontal="left"/>
    </xf>
    <xf numFmtId="0" fontId="12" fillId="2" borderId="1" xfId="0" applyFont="1" applyFill="1" applyBorder="1" applyAlignment="1">
      <alignment horizontal="left" vertical="center"/>
    </xf>
    <xf numFmtId="4" fontId="11" fillId="2" borderId="1" xfId="0" applyNumberFormat="1" applyFont="1" applyFill="1" applyBorder="1"/>
    <xf numFmtId="4" fontId="11" fillId="2" borderId="1" xfId="0" applyNumberFormat="1" applyFont="1" applyFill="1" applyBorder="1" applyAlignment="1">
      <alignment horizontal="center"/>
    </xf>
    <xf numFmtId="0" fontId="12" fillId="2" borderId="1" xfId="0" applyFont="1" applyFill="1" applyBorder="1" applyAlignment="1">
      <alignment horizontal="left" vertical="center" wrapText="1"/>
    </xf>
    <xf numFmtId="0" fontId="13" fillId="2" borderId="1" xfId="0" applyFont="1" applyFill="1" applyBorder="1" applyAlignment="1">
      <alignment wrapText="1"/>
    </xf>
    <xf numFmtId="0" fontId="11" fillId="2" borderId="1" xfId="0" applyFont="1" applyFill="1" applyBorder="1" applyAlignment="1">
      <alignment horizontal="left" wrapText="1"/>
    </xf>
    <xf numFmtId="49" fontId="11" fillId="2" borderId="1" xfId="0" applyNumberFormat="1" applyFont="1" applyFill="1" applyBorder="1" applyAlignment="1">
      <alignment wrapText="1"/>
    </xf>
    <xf numFmtId="43" fontId="11" fillId="2" borderId="1" xfId="1" applyFont="1" applyFill="1" applyBorder="1"/>
    <xf numFmtId="14" fontId="11" fillId="2" borderId="1" xfId="0" applyNumberFormat="1" applyFont="1" applyFill="1" applyBorder="1"/>
    <xf numFmtId="43" fontId="12" fillId="2" borderId="1" xfId="0" applyNumberFormat="1" applyFont="1" applyFill="1" applyBorder="1"/>
    <xf numFmtId="14" fontId="11" fillId="2" borderId="1" xfId="1" applyNumberFormat="1" applyFont="1" applyFill="1" applyBorder="1"/>
    <xf numFmtId="0" fontId="11" fillId="2" borderId="2" xfId="0" applyFont="1" applyFill="1" applyBorder="1"/>
    <xf numFmtId="1" fontId="11" fillId="2" borderId="2" xfId="0" applyNumberFormat="1" applyFont="1" applyFill="1" applyBorder="1"/>
    <xf numFmtId="0" fontId="11" fillId="2" borderId="0" xfId="0" applyFont="1" applyFill="1"/>
    <xf numFmtId="0" fontId="12" fillId="2" borderId="1" xfId="0" applyFont="1" applyFill="1" applyBorder="1" applyAlignment="1">
      <alignment wrapText="1"/>
    </xf>
    <xf numFmtId="49" fontId="12" fillId="2" borderId="1" xfId="0" applyNumberFormat="1" applyFont="1" applyFill="1" applyBorder="1" applyAlignment="1">
      <alignment horizontal="center"/>
    </xf>
    <xf numFmtId="1" fontId="11" fillId="2" borderId="2" xfId="0" applyNumberFormat="1" applyFont="1" applyFill="1" applyBorder="1" applyAlignment="1">
      <alignment horizontal="center" wrapText="1"/>
    </xf>
    <xf numFmtId="14" fontId="11" fillId="2" borderId="2" xfId="0" applyNumberFormat="1" applyFont="1" applyFill="1" applyBorder="1" applyAlignment="1">
      <alignment horizontal="center"/>
    </xf>
    <xf numFmtId="49" fontId="14" fillId="2" borderId="1" xfId="0" applyNumberFormat="1" applyFont="1" applyFill="1" applyBorder="1" applyAlignment="1">
      <alignment horizontal="center"/>
    </xf>
    <xf numFmtId="49" fontId="11"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1" fontId="9" fillId="2" borderId="1" xfId="0" applyNumberFormat="1" applyFont="1" applyFill="1" applyBorder="1" applyAlignment="1">
      <alignment horizontal="center"/>
    </xf>
    <xf numFmtId="0" fontId="13" fillId="2" borderId="1" xfId="0" applyFont="1" applyFill="1" applyBorder="1"/>
    <xf numFmtId="49" fontId="12" fillId="2" borderId="1" xfId="0" applyNumberFormat="1" applyFont="1" applyFill="1" applyBorder="1" applyAlignment="1">
      <alignment horizontal="center" wrapText="1"/>
    </xf>
    <xf numFmtId="49" fontId="11" fillId="2" borderId="0" xfId="0" applyNumberFormat="1" applyFont="1" applyFill="1" applyAlignment="1">
      <alignment horizontal="center"/>
    </xf>
    <xf numFmtId="14" fontId="11" fillId="2" borderId="0" xfId="0" applyNumberFormat="1" applyFont="1" applyFill="1" applyAlignment="1">
      <alignment horizontal="center" wrapText="1"/>
    </xf>
    <xf numFmtId="0" fontId="12" fillId="2" borderId="1" xfId="0" applyFont="1" applyFill="1" applyBorder="1" applyAlignment="1">
      <alignment horizontal="left"/>
    </xf>
    <xf numFmtId="0" fontId="15" fillId="2" borderId="1" xfId="0" applyFont="1" applyFill="1" applyBorder="1" applyAlignment="1">
      <alignment horizontal="left" vertical="center"/>
    </xf>
    <xf numFmtId="0" fontId="15" fillId="2" borderId="1" xfId="0" applyFont="1" applyFill="1" applyBorder="1"/>
    <xf numFmtId="0" fontId="15" fillId="2" borderId="1" xfId="0" applyFont="1" applyFill="1" applyBorder="1" applyAlignment="1">
      <alignment horizontal="center"/>
    </xf>
    <xf numFmtId="0" fontId="3" fillId="2" borderId="1" xfId="0" applyFont="1" applyFill="1" applyBorder="1"/>
    <xf numFmtId="1" fontId="3" fillId="2" borderId="1" xfId="0" applyNumberFormat="1" applyFont="1" applyFill="1" applyBorder="1"/>
    <xf numFmtId="49" fontId="3" fillId="2" borderId="1" xfId="0" applyNumberFormat="1" applyFont="1" applyFill="1" applyBorder="1"/>
    <xf numFmtId="43" fontId="3" fillId="2" borderId="1" xfId="1" applyFont="1" applyFill="1" applyBorder="1" applyAlignment="1"/>
    <xf numFmtId="3" fontId="3" fillId="2" borderId="1" xfId="0" applyNumberFormat="1" applyFont="1" applyFill="1" applyBorder="1"/>
    <xf numFmtId="14" fontId="3" fillId="2" borderId="1" xfId="0" applyNumberFormat="1" applyFont="1" applyFill="1" applyBorder="1"/>
    <xf numFmtId="0" fontId="3" fillId="2" borderId="1" xfId="0" applyFont="1" applyFill="1" applyBorder="1" applyAlignment="1">
      <alignment horizontal="left"/>
    </xf>
    <xf numFmtId="14" fontId="3" fillId="2" borderId="1" xfId="1" applyNumberFormat="1" applyFont="1" applyFill="1" applyBorder="1" applyAlignment="1"/>
    <xf numFmtId="1" fontId="3" fillId="2" borderId="0" xfId="0" applyNumberFormat="1" applyFont="1" applyFill="1"/>
    <xf numFmtId="0" fontId="12" fillId="2" borderId="1" xfId="0" applyFont="1" applyFill="1" applyBorder="1" applyAlignment="1">
      <alignment horizontal="center" wrapText="1"/>
    </xf>
    <xf numFmtId="43" fontId="13" fillId="2" borderId="1" xfId="1" applyFont="1" applyFill="1" applyBorder="1" applyAlignment="1"/>
    <xf numFmtId="14" fontId="11" fillId="2" borderId="0" xfId="0" applyNumberFormat="1" applyFont="1" applyFill="1" applyAlignment="1">
      <alignment horizontal="center"/>
    </xf>
    <xf numFmtId="1" fontId="11" fillId="2" borderId="0" xfId="0" applyNumberFormat="1" applyFont="1" applyFill="1" applyAlignment="1">
      <alignment horizontal="center" wrapText="1"/>
    </xf>
    <xf numFmtId="1" fontId="12" fillId="2" borderId="1" xfId="0" applyNumberFormat="1" applyFont="1" applyFill="1" applyBorder="1" applyAlignment="1">
      <alignment horizontal="center" wrapText="1"/>
    </xf>
    <xf numFmtId="3" fontId="12" fillId="2" borderId="1" xfId="0" applyNumberFormat="1" applyFont="1" applyFill="1" applyBorder="1" applyAlignment="1">
      <alignment horizontal="center" wrapText="1"/>
    </xf>
    <xf numFmtId="14" fontId="12" fillId="2" borderId="1" xfId="0" applyNumberFormat="1" applyFont="1" applyFill="1" applyBorder="1" applyAlignment="1">
      <alignment horizontal="center" wrapText="1"/>
    </xf>
    <xf numFmtId="43" fontId="12" fillId="2" borderId="1" xfId="1" applyFont="1" applyFill="1" applyBorder="1" applyAlignment="1">
      <alignment horizontal="center" wrapText="1"/>
    </xf>
    <xf numFmtId="14" fontId="12" fillId="2" borderId="1" xfId="1" applyNumberFormat="1" applyFont="1" applyFill="1" applyBorder="1" applyAlignment="1">
      <alignment horizontal="center" wrapText="1"/>
    </xf>
    <xf numFmtId="0" fontId="12" fillId="2" borderId="0" xfId="0" applyFont="1" applyFill="1" applyAlignment="1">
      <alignment horizontal="center" wrapText="1"/>
    </xf>
    <xf numFmtId="0" fontId="11" fillId="2" borderId="4" xfId="0" applyFont="1" applyFill="1" applyBorder="1" applyAlignment="1">
      <alignment horizontal="center" wrapText="1"/>
    </xf>
    <xf numFmtId="0" fontId="12" fillId="2" borderId="1" xfId="0" applyFont="1" applyFill="1" applyBorder="1" applyAlignment="1">
      <alignment horizontal="left" wrapText="1"/>
    </xf>
    <xf numFmtId="0" fontId="11" fillId="2" borderId="4" xfId="0" applyFont="1" applyFill="1" applyBorder="1" applyAlignment="1">
      <alignment horizontal="center"/>
    </xf>
    <xf numFmtId="14" fontId="11" fillId="2" borderId="4" xfId="0" applyNumberFormat="1" applyFont="1" applyFill="1" applyBorder="1" applyAlignment="1">
      <alignment horizontal="center" wrapText="1"/>
    </xf>
    <xf numFmtId="0" fontId="11" fillId="2" borderId="0" xfId="0" applyFont="1" applyFill="1" applyAlignment="1">
      <alignment horizontal="left" vertical="center" wrapText="1"/>
    </xf>
    <xf numFmtId="0" fontId="11" fillId="2" borderId="0" xfId="0" applyFont="1" applyFill="1" applyAlignment="1">
      <alignment wrapText="1"/>
    </xf>
    <xf numFmtId="43" fontId="11" fillId="2" borderId="0" xfId="1" applyFont="1" applyFill="1" applyAlignment="1">
      <alignment wrapText="1"/>
    </xf>
    <xf numFmtId="3" fontId="11" fillId="2" borderId="0" xfId="0" applyNumberFormat="1" applyFont="1" applyFill="1" applyAlignment="1">
      <alignment horizontal="center" wrapText="1"/>
    </xf>
    <xf numFmtId="43" fontId="11" fillId="2" borderId="0" xfId="1" applyFont="1" applyFill="1" applyBorder="1" applyAlignment="1">
      <alignment wrapText="1"/>
    </xf>
    <xf numFmtId="43" fontId="12" fillId="2" borderId="0" xfId="1" applyFont="1" applyFill="1" applyBorder="1" applyAlignment="1">
      <alignment wrapText="1"/>
    </xf>
    <xf numFmtId="43" fontId="11" fillId="2" borderId="0" xfId="1" applyFont="1" applyFill="1" applyBorder="1" applyAlignment="1">
      <alignment horizontal="center" wrapText="1"/>
    </xf>
    <xf numFmtId="14" fontId="11" fillId="2" borderId="0" xfId="1" applyNumberFormat="1" applyFont="1" applyFill="1" applyBorder="1" applyAlignment="1">
      <alignment horizontal="center" wrapText="1"/>
    </xf>
    <xf numFmtId="0" fontId="3"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horizontal="left" vertical="center" wrapText="1"/>
    </xf>
    <xf numFmtId="0" fontId="3" fillId="2" borderId="0" xfId="0" applyFont="1" applyFill="1" applyAlignment="1">
      <alignment horizontal="center" wrapText="1"/>
    </xf>
    <xf numFmtId="0" fontId="3" fillId="2" borderId="0" xfId="0" applyFont="1" applyFill="1" applyAlignment="1">
      <alignment wrapText="1"/>
    </xf>
    <xf numFmtId="43" fontId="3" fillId="2" borderId="0" xfId="1" applyFont="1" applyFill="1" applyAlignment="1"/>
    <xf numFmtId="0" fontId="16" fillId="2" borderId="0" xfId="0" applyFont="1" applyFill="1" applyAlignment="1">
      <alignment horizont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0" xfId="0" applyFont="1" applyFill="1" applyAlignment="1">
      <alignment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3" fillId="2" borderId="0" xfId="0" applyFont="1" applyFill="1" applyAlignment="1">
      <alignment horizontal="left"/>
    </xf>
    <xf numFmtId="43" fontId="3" fillId="2" borderId="0" xfId="1" applyFont="1" applyFill="1" applyAlignment="1">
      <alignment wrapText="1"/>
    </xf>
    <xf numFmtId="0" fontId="3" fillId="2" borderId="0" xfId="0" applyFont="1" applyFill="1" applyAlignment="1">
      <alignment horizontal="center" vertical="center" wrapText="1"/>
    </xf>
    <xf numFmtId="0" fontId="3" fillId="2" borderId="0" xfId="0" applyFont="1" applyFill="1" applyAlignment="1">
      <alignment horizontal="center" wrapText="1"/>
    </xf>
    <xf numFmtId="0" fontId="17" fillId="2" borderId="0" xfId="0" applyFont="1" applyFill="1"/>
    <xf numFmtId="0" fontId="17" fillId="2" borderId="0" xfId="0" applyFont="1" applyFill="1" applyAlignment="1">
      <alignment horizontal="center"/>
    </xf>
    <xf numFmtId="0" fontId="11" fillId="2" borderId="0" xfId="0" applyFont="1" applyFill="1" applyAlignment="1">
      <alignment horizontal="center" wrapText="1"/>
    </xf>
    <xf numFmtId="0" fontId="18" fillId="2" borderId="0" xfId="0" applyFont="1" applyFill="1" applyAlignment="1">
      <alignment horizontal="center" wrapText="1"/>
    </xf>
    <xf numFmtId="43" fontId="12" fillId="2" borderId="0" xfId="1" applyFont="1" applyFill="1" applyAlignment="1">
      <alignment wrapText="1"/>
    </xf>
    <xf numFmtId="43" fontId="11" fillId="2" borderId="0" xfId="1" applyFont="1" applyFill="1" applyAlignment="1">
      <alignment horizontal="center" wrapText="1"/>
    </xf>
    <xf numFmtId="14" fontId="11" fillId="2" borderId="0" xfId="1" applyNumberFormat="1" applyFont="1" applyFill="1" applyAlignment="1">
      <alignment horizontal="center" wrapText="1"/>
    </xf>
  </cellXfs>
  <cellStyles count="2">
    <cellStyle name="Comma" xfId="1" builtinId="3"/>
    <cellStyle name="Normal" xfId="0" builtinId="0"/>
  </cellStyles>
  <dxfs count="2">
    <dxf>
      <font>
        <strike val="0"/>
      </font>
      <fill>
        <patternFill>
          <bgColor theme="5" tint="0.7999816888943144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890588</xdr:colOff>
      <xdr:row>0</xdr:row>
      <xdr:rowOff>0</xdr:rowOff>
    </xdr:from>
    <xdr:to>
      <xdr:col>4</xdr:col>
      <xdr:colOff>645319</xdr:colOff>
      <xdr:row>2</xdr:row>
      <xdr:rowOff>123336</xdr:rowOff>
    </xdr:to>
    <xdr:pic>
      <xdr:nvPicPr>
        <xdr:cNvPr id="2" name="Picture 1">
          <a:extLst>
            <a:ext uri="{FF2B5EF4-FFF2-40B4-BE49-F238E27FC236}">
              <a16:creationId xmlns:a16="http://schemas.microsoft.com/office/drawing/2014/main" id="{1E182D9A-B41B-4D32-9C0E-7FFFACEAB834}"/>
            </a:ext>
          </a:extLst>
        </xdr:cNvPr>
        <xdr:cNvPicPr>
          <a:picLocks noChangeAspect="1"/>
        </xdr:cNvPicPr>
      </xdr:nvPicPr>
      <xdr:blipFill>
        <a:blip xmlns:r="http://schemas.openxmlformats.org/officeDocument/2006/relationships" r:embed="rId1"/>
        <a:stretch>
          <a:fillRect/>
        </a:stretch>
      </xdr:blipFill>
      <xdr:spPr>
        <a:xfrm>
          <a:off x="3795713" y="0"/>
          <a:ext cx="659606" cy="5043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C27E0-50B5-4C30-B4AF-93A872C6688B}">
  <dimension ref="A1:BA560"/>
  <sheetViews>
    <sheetView tabSelected="1" workbookViewId="0">
      <selection activeCell="B17" sqref="B17"/>
    </sheetView>
  </sheetViews>
  <sheetFormatPr defaultRowHeight="12.75"/>
  <cols>
    <col min="1" max="1" width="4.28515625" style="55" customWidth="1"/>
    <col min="2" max="2" width="22.7109375" style="131" customWidth="1"/>
    <col min="3" max="3" width="16.5703125" style="67" customWidth="1"/>
    <col min="4" max="4" width="13.5703125" style="55" customWidth="1"/>
    <col min="5" max="5" width="11.42578125" style="132" customWidth="1"/>
    <col min="6" max="6" width="0.140625" style="120" customWidth="1"/>
    <col min="7" max="7" width="14" style="55" customWidth="1"/>
    <col min="8" max="8" width="11.85546875" style="133" customWidth="1"/>
    <col min="9" max="9" width="8.140625" style="55" bestFit="1" customWidth="1"/>
    <col min="10" max="10" width="9.85546875" style="55" customWidth="1"/>
    <col min="11" max="11" width="11.5703125" style="133" customWidth="1"/>
    <col min="12" max="12" width="11.42578125" style="133" customWidth="1"/>
    <col min="13" max="13" width="11.85546875" style="133" customWidth="1"/>
    <col min="14" max="14" width="13.140625" style="133" hidden="1" customWidth="1"/>
    <col min="15" max="15" width="9" style="163" customWidth="1"/>
    <col min="16" max="16" width="12.7109375" style="133" customWidth="1"/>
    <col min="17" max="17" width="10" style="55" hidden="1" customWidth="1"/>
    <col min="18" max="18" width="11.28515625" style="55" hidden="1" customWidth="1"/>
    <col min="19" max="19" width="12.5703125" style="55" hidden="1" customWidth="1"/>
    <col min="20" max="20" width="12.140625" style="55" hidden="1" customWidth="1"/>
    <col min="21" max="21" width="16" style="55" hidden="1" customWidth="1"/>
    <col min="22" max="22" width="14.5703125" style="164" hidden="1" customWidth="1"/>
    <col min="23" max="23" width="13.7109375" style="165" hidden="1" customWidth="1"/>
    <col min="24" max="24" width="12.28515625" style="55" hidden="1" customWidth="1"/>
    <col min="25" max="25" width="32.5703125" style="55" hidden="1" customWidth="1"/>
    <col min="26" max="26" width="17.7109375" style="55" hidden="1" customWidth="1"/>
    <col min="27" max="27" width="11.28515625" style="55" hidden="1" customWidth="1"/>
    <col min="28" max="28" width="0" style="55" hidden="1" customWidth="1"/>
    <col min="29" max="29" width="5.7109375" style="55" hidden="1" customWidth="1"/>
    <col min="30" max="30" width="2" style="55" hidden="1" customWidth="1"/>
    <col min="31" max="51" width="0" style="55" hidden="1" customWidth="1"/>
    <col min="52" max="52" width="9.140625" style="55"/>
    <col min="53" max="53" width="10.42578125" style="55" bestFit="1" customWidth="1"/>
    <col min="54" max="16384" width="9.140625" style="55"/>
  </cols>
  <sheetData>
    <row r="1" spans="1:28" s="2" customFormat="1">
      <c r="A1" s="1" t="s">
        <v>0</v>
      </c>
      <c r="B1" s="1"/>
      <c r="C1" s="1"/>
      <c r="D1" s="1"/>
      <c r="E1" s="1"/>
      <c r="F1" s="1"/>
      <c r="G1" s="1"/>
      <c r="H1" s="1"/>
      <c r="I1" s="1"/>
      <c r="J1" s="1"/>
      <c r="K1" s="1"/>
      <c r="L1" s="1"/>
      <c r="M1" s="1"/>
      <c r="N1" s="1"/>
      <c r="O1" s="1"/>
      <c r="P1" s="1"/>
      <c r="Q1" s="1"/>
      <c r="R1" s="1"/>
      <c r="S1" s="1"/>
      <c r="T1" s="1"/>
      <c r="U1" s="1"/>
      <c r="V1" s="1"/>
      <c r="W1" s="1"/>
      <c r="X1" s="1"/>
      <c r="Y1" s="1"/>
      <c r="Z1" s="1"/>
      <c r="AA1" s="1"/>
      <c r="AB1" s="1"/>
    </row>
    <row r="2" spans="1:28" s="2" customFormat="1">
      <c r="A2" s="1" t="s">
        <v>1</v>
      </c>
      <c r="B2" s="1"/>
      <c r="C2" s="1"/>
      <c r="D2" s="1"/>
      <c r="E2" s="1"/>
      <c r="F2" s="1"/>
      <c r="G2" s="1"/>
      <c r="H2" s="1"/>
      <c r="I2" s="1"/>
      <c r="J2" s="1"/>
      <c r="K2" s="1"/>
      <c r="L2" s="1"/>
      <c r="M2" s="1"/>
      <c r="N2" s="1"/>
      <c r="O2" s="1"/>
      <c r="P2" s="1"/>
      <c r="Q2" s="1"/>
      <c r="R2" s="1"/>
      <c r="S2" s="1"/>
      <c r="T2" s="1"/>
      <c r="U2" s="1"/>
      <c r="V2" s="1"/>
      <c r="W2" s="1"/>
      <c r="X2" s="1"/>
      <c r="Y2" s="1"/>
      <c r="Z2" s="1"/>
      <c r="AA2" s="1"/>
      <c r="AB2" s="1"/>
    </row>
    <row r="3" spans="1:28" s="2" customFormat="1">
      <c r="A3" s="1" t="s">
        <v>2</v>
      </c>
      <c r="B3" s="1"/>
      <c r="C3" s="1"/>
      <c r="D3" s="1"/>
      <c r="E3" s="1"/>
      <c r="F3" s="1"/>
      <c r="G3" s="1"/>
      <c r="H3" s="1"/>
      <c r="I3" s="1"/>
      <c r="J3" s="1"/>
      <c r="K3" s="1"/>
      <c r="L3" s="1"/>
      <c r="M3" s="1"/>
      <c r="N3" s="1"/>
      <c r="O3" s="1"/>
      <c r="P3" s="1"/>
      <c r="Q3" s="1"/>
      <c r="R3" s="1"/>
      <c r="S3" s="1"/>
      <c r="T3" s="1"/>
      <c r="U3" s="1"/>
      <c r="V3" s="1"/>
      <c r="W3" s="1"/>
      <c r="X3" s="1"/>
      <c r="Y3" s="1"/>
      <c r="Z3" s="1"/>
      <c r="AA3" s="1"/>
      <c r="AB3" s="1"/>
    </row>
    <row r="4" spans="1:28" s="2" customFormat="1" ht="4.5" customHeight="1">
      <c r="A4" s="1"/>
      <c r="B4" s="1"/>
      <c r="C4" s="1"/>
      <c r="D4" s="1"/>
      <c r="E4" s="1"/>
      <c r="F4" s="1"/>
      <c r="G4" s="1"/>
      <c r="H4" s="1"/>
      <c r="I4" s="1"/>
      <c r="J4" s="1"/>
      <c r="K4" s="1"/>
      <c r="L4" s="1"/>
      <c r="M4" s="1"/>
      <c r="N4" s="1"/>
      <c r="O4" s="1"/>
      <c r="P4" s="1"/>
      <c r="Q4" s="1"/>
    </row>
    <row r="5" spans="1:28" s="2" customFormat="1" ht="4.5" customHeight="1">
      <c r="A5" s="3"/>
      <c r="B5" s="4"/>
      <c r="C5" s="3"/>
      <c r="D5" s="5"/>
      <c r="E5" s="6"/>
      <c r="F5" s="3"/>
      <c r="G5" s="3"/>
      <c r="H5" s="7"/>
      <c r="I5" s="3"/>
      <c r="J5" s="3"/>
      <c r="K5" s="3"/>
      <c r="L5" s="3"/>
      <c r="M5" s="3"/>
      <c r="N5" s="3"/>
      <c r="O5" s="8"/>
      <c r="P5" s="3"/>
      <c r="Q5" s="3"/>
    </row>
    <row r="6" spans="1:28" s="2" customFormat="1" ht="30">
      <c r="A6" s="9" t="s">
        <v>3</v>
      </c>
      <c r="B6" s="9"/>
      <c r="C6" s="9"/>
      <c r="D6" s="9"/>
      <c r="E6" s="9"/>
      <c r="F6" s="9"/>
      <c r="G6" s="9"/>
      <c r="H6" s="9"/>
      <c r="I6" s="9"/>
      <c r="J6" s="9"/>
      <c r="K6" s="9"/>
      <c r="L6" s="9"/>
      <c r="M6" s="9"/>
      <c r="N6" s="9"/>
      <c r="O6" s="9"/>
      <c r="P6" s="9"/>
      <c r="Q6" s="9"/>
      <c r="R6" s="9"/>
      <c r="S6" s="9"/>
      <c r="T6" s="9"/>
      <c r="U6" s="9"/>
      <c r="V6" s="9"/>
      <c r="W6" s="9"/>
      <c r="X6" s="9"/>
      <c r="Y6" s="9"/>
      <c r="Z6" s="9"/>
      <c r="AA6" s="9"/>
      <c r="AB6" s="9"/>
    </row>
    <row r="7" spans="1:28" s="2" customFormat="1" ht="1.5" customHeight="1">
      <c r="A7" s="3"/>
      <c r="B7" s="4"/>
      <c r="C7" s="3"/>
      <c r="D7" s="5"/>
      <c r="E7" s="6"/>
      <c r="F7" s="3"/>
      <c r="G7" s="5"/>
      <c r="H7" s="10"/>
      <c r="I7" s="3"/>
      <c r="J7" s="3"/>
      <c r="K7" s="3"/>
      <c r="L7" s="3"/>
      <c r="M7" s="3"/>
      <c r="N7" s="3"/>
      <c r="O7" s="8"/>
      <c r="P7" s="3"/>
      <c r="Q7" s="3"/>
    </row>
    <row r="8" spans="1:28" s="2" customFormat="1" ht="1.5" customHeight="1">
      <c r="A8" s="3"/>
      <c r="B8" s="4"/>
      <c r="C8" s="3"/>
      <c r="D8" s="5"/>
      <c r="E8" s="6"/>
      <c r="F8" s="3"/>
      <c r="G8" s="5"/>
      <c r="H8" s="10"/>
      <c r="I8" s="3"/>
      <c r="J8" s="3"/>
      <c r="K8" s="3"/>
      <c r="L8" s="3"/>
      <c r="M8" s="3"/>
      <c r="N8" s="3"/>
      <c r="O8" s="8"/>
      <c r="P8" s="3"/>
      <c r="Q8" s="3"/>
    </row>
    <row r="9" spans="1:28" s="2" customFormat="1" ht="15" customHeight="1">
      <c r="A9" s="11" t="s">
        <v>4</v>
      </c>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s="2" customFormat="1">
      <c r="A10" s="12" t="s">
        <v>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row>
    <row r="11" spans="1:28" s="2" customFormat="1">
      <c r="A11" s="13"/>
      <c r="B11" s="14"/>
      <c r="C11" s="13"/>
      <c r="D11" s="15"/>
      <c r="E11" s="16"/>
      <c r="F11" s="13"/>
      <c r="G11" s="13"/>
      <c r="H11" s="17"/>
      <c r="I11" s="13"/>
      <c r="J11" s="13"/>
      <c r="K11" s="13"/>
      <c r="L11" s="13"/>
      <c r="M11" s="13"/>
      <c r="N11" s="13"/>
      <c r="O11" s="18"/>
      <c r="P11" s="13"/>
      <c r="Q11" s="13"/>
      <c r="R11" s="13"/>
      <c r="S11" s="13"/>
      <c r="T11" s="13"/>
      <c r="U11" s="13"/>
      <c r="V11" s="13"/>
      <c r="W11" s="13"/>
      <c r="X11" s="13"/>
      <c r="Y11" s="13"/>
      <c r="Z11" s="13"/>
      <c r="AA11" s="13"/>
      <c r="AB11" s="13"/>
    </row>
    <row r="12" spans="1:28" s="31" customFormat="1" ht="45" customHeight="1">
      <c r="A12" s="19" t="s">
        <v>6</v>
      </c>
      <c r="B12" s="20" t="s">
        <v>7</v>
      </c>
      <c r="C12" s="21" t="s">
        <v>8</v>
      </c>
      <c r="D12" s="19" t="s">
        <v>9</v>
      </c>
      <c r="E12" s="22" t="s">
        <v>10</v>
      </c>
      <c r="F12" s="23" t="s">
        <v>11</v>
      </c>
      <c r="G12" s="19" t="s">
        <v>12</v>
      </c>
      <c r="H12" s="24" t="s">
        <v>13</v>
      </c>
      <c r="I12" s="19" t="s">
        <v>14</v>
      </c>
      <c r="J12" s="19" t="s">
        <v>15</v>
      </c>
      <c r="K12" s="24" t="s">
        <v>16</v>
      </c>
      <c r="L12" s="24" t="s">
        <v>17</v>
      </c>
      <c r="M12" s="24" t="s">
        <v>18</v>
      </c>
      <c r="N12" s="24"/>
      <c r="O12" s="25" t="s">
        <v>19</v>
      </c>
      <c r="P12" s="25" t="s">
        <v>20</v>
      </c>
      <c r="Q12" s="19" t="s">
        <v>10</v>
      </c>
      <c r="R12" s="26" t="s">
        <v>21</v>
      </c>
      <c r="S12" s="27"/>
      <c r="T12" s="28"/>
      <c r="U12" s="19" t="s">
        <v>22</v>
      </c>
      <c r="V12" s="19"/>
      <c r="W12" s="29" t="s">
        <v>23</v>
      </c>
      <c r="X12" s="30" t="s">
        <v>24</v>
      </c>
      <c r="Y12" s="30" t="s">
        <v>25</v>
      </c>
      <c r="Z12" s="19" t="s">
        <v>26</v>
      </c>
      <c r="AA12" s="19" t="s">
        <v>27</v>
      </c>
    </row>
    <row r="13" spans="1:28" s="42" customFormat="1" ht="24.75" hidden="1" customHeight="1">
      <c r="A13" s="32"/>
      <c r="B13" s="33"/>
      <c r="C13" s="34"/>
      <c r="D13" s="32"/>
      <c r="E13" s="35"/>
      <c r="F13" s="36"/>
      <c r="G13" s="32"/>
      <c r="H13" s="37"/>
      <c r="I13" s="32"/>
      <c r="J13" s="32"/>
      <c r="K13" s="37"/>
      <c r="L13" s="37"/>
      <c r="M13" s="37"/>
      <c r="N13" s="37"/>
      <c r="O13" s="38"/>
      <c r="P13" s="37"/>
      <c r="Q13" s="32"/>
      <c r="R13" s="32" t="s">
        <v>28</v>
      </c>
      <c r="S13" s="32" t="s">
        <v>29</v>
      </c>
      <c r="T13" s="32" t="s">
        <v>30</v>
      </c>
      <c r="U13" s="32" t="s">
        <v>31</v>
      </c>
      <c r="V13" s="39" t="s">
        <v>32</v>
      </c>
      <c r="W13" s="40"/>
      <c r="X13" s="41"/>
      <c r="Y13" s="41"/>
      <c r="Z13" s="32"/>
      <c r="AA13" s="32"/>
    </row>
    <row r="14" spans="1:28">
      <c r="A14" s="43">
        <v>1</v>
      </c>
      <c r="B14" s="33" t="s">
        <v>33</v>
      </c>
      <c r="C14" s="44" t="s">
        <v>34</v>
      </c>
      <c r="D14" s="43">
        <v>23529</v>
      </c>
      <c r="E14" s="45" t="s">
        <v>35</v>
      </c>
      <c r="F14" s="46">
        <v>15504003201804</v>
      </c>
      <c r="G14" s="47" t="s">
        <v>36</v>
      </c>
      <c r="H14" s="48">
        <v>21340</v>
      </c>
      <c r="I14" s="49">
        <v>40044</v>
      </c>
      <c r="J14" s="43" t="s">
        <v>37</v>
      </c>
      <c r="K14" s="48">
        <v>4054.6</v>
      </c>
      <c r="L14" s="48">
        <v>4054.6</v>
      </c>
      <c r="M14" s="48">
        <v>5616.76</v>
      </c>
      <c r="N14" s="48">
        <f t="shared" ref="N14:N77" si="0">K14+L14+M14</f>
        <v>13725.96</v>
      </c>
      <c r="O14" s="50">
        <v>10000</v>
      </c>
      <c r="P14" s="48">
        <f t="shared" ref="P14:P77" si="1">K14+L14+M14+O14</f>
        <v>23725.96</v>
      </c>
      <c r="Q14" s="43" t="s">
        <v>35</v>
      </c>
      <c r="R14" s="51">
        <v>44889</v>
      </c>
      <c r="S14" s="51">
        <v>45014</v>
      </c>
      <c r="T14" s="51"/>
      <c r="U14" s="43"/>
      <c r="V14" s="52"/>
      <c r="W14" s="53">
        <v>45027</v>
      </c>
      <c r="X14" s="54"/>
      <c r="Y14" s="54"/>
      <c r="Z14" s="43" t="s">
        <v>38</v>
      </c>
      <c r="AA14" s="43"/>
    </row>
    <row r="15" spans="1:28" s="67" customFormat="1">
      <c r="A15" s="44">
        <v>2</v>
      </c>
      <c r="B15" s="56" t="s">
        <v>39</v>
      </c>
      <c r="C15" s="44" t="s">
        <v>40</v>
      </c>
      <c r="D15" s="44">
        <v>37459</v>
      </c>
      <c r="E15" s="57" t="s">
        <v>41</v>
      </c>
      <c r="F15" s="58">
        <v>15504006300204</v>
      </c>
      <c r="G15" s="59" t="s">
        <v>36</v>
      </c>
      <c r="H15" s="60">
        <v>19390</v>
      </c>
      <c r="I15" s="61">
        <v>25770</v>
      </c>
      <c r="J15" s="44" t="s">
        <v>42</v>
      </c>
      <c r="K15" s="60">
        <v>3490.2</v>
      </c>
      <c r="L15" s="60">
        <v>3490.2</v>
      </c>
      <c r="M15" s="60">
        <v>4839.8</v>
      </c>
      <c r="N15" s="60">
        <f t="shared" si="0"/>
        <v>11820.2</v>
      </c>
      <c r="O15" s="62">
        <v>10000</v>
      </c>
      <c r="P15" s="60">
        <f t="shared" si="1"/>
        <v>21820.2</v>
      </c>
      <c r="Q15" s="44" t="s">
        <v>41</v>
      </c>
      <c r="R15" s="63">
        <v>44876</v>
      </c>
      <c r="S15" s="63"/>
      <c r="T15" s="63"/>
      <c r="U15" s="44"/>
      <c r="V15" s="64"/>
      <c r="W15" s="65"/>
      <c r="X15" s="66"/>
      <c r="Y15" s="66"/>
      <c r="Z15" s="44"/>
      <c r="AA15" s="44"/>
    </row>
    <row r="16" spans="1:28" s="67" customFormat="1">
      <c r="A16" s="44">
        <v>3</v>
      </c>
      <c r="B16" s="56" t="s">
        <v>43</v>
      </c>
      <c r="C16" s="44" t="s">
        <v>44</v>
      </c>
      <c r="D16" s="44" t="s">
        <v>45</v>
      </c>
      <c r="E16" s="68" t="s">
        <v>46</v>
      </c>
      <c r="F16" s="69">
        <v>15504007601418</v>
      </c>
      <c r="G16" s="59" t="s">
        <v>47</v>
      </c>
      <c r="H16" s="60">
        <v>44210</v>
      </c>
      <c r="I16" s="61">
        <v>614</v>
      </c>
      <c r="J16" s="44" t="s">
        <v>48</v>
      </c>
      <c r="K16" s="60">
        <v>3536.8</v>
      </c>
      <c r="L16" s="60">
        <v>3536.8</v>
      </c>
      <c r="M16" s="60">
        <v>4633.18</v>
      </c>
      <c r="N16" s="60">
        <f t="shared" si="0"/>
        <v>11706.78</v>
      </c>
      <c r="O16" s="62">
        <v>10000</v>
      </c>
      <c r="P16" s="60">
        <f t="shared" si="1"/>
        <v>21706.78</v>
      </c>
      <c r="Q16" s="44" t="s">
        <v>46</v>
      </c>
      <c r="R16" s="63">
        <v>44965</v>
      </c>
      <c r="S16" s="63">
        <v>45012</v>
      </c>
      <c r="T16" s="44"/>
      <c r="U16" s="44"/>
      <c r="V16" s="64"/>
      <c r="W16" s="65">
        <v>45044</v>
      </c>
      <c r="X16" s="66"/>
      <c r="Y16" s="66" t="s">
        <v>49</v>
      </c>
      <c r="Z16" s="63">
        <v>45063</v>
      </c>
      <c r="AA16" s="44"/>
    </row>
    <row r="17" spans="1:27">
      <c r="A17" s="43">
        <v>4</v>
      </c>
      <c r="B17" s="33" t="s">
        <v>50</v>
      </c>
      <c r="C17" s="44" t="s">
        <v>51</v>
      </c>
      <c r="D17" s="43" t="s">
        <v>52</v>
      </c>
      <c r="E17" s="45" t="s">
        <v>53</v>
      </c>
      <c r="F17" s="46">
        <v>15504001200127</v>
      </c>
      <c r="G17" s="47" t="s">
        <v>36</v>
      </c>
      <c r="H17" s="48">
        <v>39810</v>
      </c>
      <c r="I17" s="49">
        <v>100000</v>
      </c>
      <c r="J17" s="43" t="s">
        <v>42</v>
      </c>
      <c r="K17" s="48">
        <v>7165.8</v>
      </c>
      <c r="L17" s="48">
        <v>7165.8</v>
      </c>
      <c r="M17" s="48">
        <v>9904.66</v>
      </c>
      <c r="N17" s="48">
        <f t="shared" si="0"/>
        <v>24236.260000000002</v>
      </c>
      <c r="O17" s="50">
        <v>10000</v>
      </c>
      <c r="P17" s="48">
        <f t="shared" si="1"/>
        <v>34236.26</v>
      </c>
      <c r="Q17" s="43" t="s">
        <v>53</v>
      </c>
      <c r="R17" s="51">
        <v>45002</v>
      </c>
      <c r="S17" s="51">
        <v>44876</v>
      </c>
      <c r="T17" s="51"/>
      <c r="U17" s="43"/>
      <c r="V17" s="52"/>
      <c r="W17" s="53">
        <v>45048</v>
      </c>
      <c r="X17" s="54"/>
      <c r="Y17" s="54" t="s">
        <v>54</v>
      </c>
      <c r="Z17" s="51">
        <v>45068</v>
      </c>
      <c r="AA17" s="43"/>
    </row>
    <row r="18" spans="1:27">
      <c r="A18" s="44">
        <v>5</v>
      </c>
      <c r="B18" s="33" t="s">
        <v>55</v>
      </c>
      <c r="C18" s="44" t="s">
        <v>56</v>
      </c>
      <c r="D18" s="43">
        <v>48025</v>
      </c>
      <c r="E18" s="45" t="s">
        <v>57</v>
      </c>
      <c r="F18" s="46">
        <v>15504003101740</v>
      </c>
      <c r="G18" s="47" t="s">
        <v>47</v>
      </c>
      <c r="H18" s="48">
        <v>24110</v>
      </c>
      <c r="I18" s="49">
        <v>574</v>
      </c>
      <c r="J18" s="43" t="s">
        <v>58</v>
      </c>
      <c r="K18" s="48">
        <v>3616.5</v>
      </c>
      <c r="L18" s="48">
        <v>3616.5</v>
      </c>
      <c r="M18" s="48">
        <v>4956.96</v>
      </c>
      <c r="N18" s="48">
        <f t="shared" si="0"/>
        <v>12189.96</v>
      </c>
      <c r="O18" s="50">
        <v>10000</v>
      </c>
      <c r="P18" s="48">
        <f t="shared" si="1"/>
        <v>22189.96</v>
      </c>
      <c r="Q18" s="43" t="s">
        <v>57</v>
      </c>
      <c r="R18" s="43"/>
      <c r="S18" s="43"/>
      <c r="T18" s="43"/>
      <c r="U18" s="43"/>
      <c r="V18" s="52"/>
      <c r="W18" s="53"/>
      <c r="X18" s="54"/>
      <c r="Y18" s="54"/>
      <c r="Z18" s="43"/>
      <c r="AA18" s="43"/>
    </row>
    <row r="19" spans="1:27">
      <c r="A19" s="44">
        <v>6</v>
      </c>
      <c r="B19" s="33" t="s">
        <v>59</v>
      </c>
      <c r="C19" s="44" t="s">
        <v>60</v>
      </c>
      <c r="D19" s="43" t="s">
        <v>61</v>
      </c>
      <c r="E19" s="45" t="s">
        <v>46</v>
      </c>
      <c r="F19" s="46">
        <v>15504007600216</v>
      </c>
      <c r="G19" s="47" t="s">
        <v>62</v>
      </c>
      <c r="H19" s="48">
        <v>2970</v>
      </c>
      <c r="I19" s="49">
        <v>4517</v>
      </c>
      <c r="J19" s="43" t="s">
        <v>63</v>
      </c>
      <c r="K19" s="48">
        <v>415.8</v>
      </c>
      <c r="L19" s="48">
        <v>415.8</v>
      </c>
      <c r="M19" s="48">
        <v>567.78</v>
      </c>
      <c r="N19" s="48">
        <f t="shared" si="0"/>
        <v>1399.38</v>
      </c>
      <c r="O19" s="50">
        <v>10000</v>
      </c>
      <c r="P19" s="48">
        <f t="shared" si="1"/>
        <v>11399.380000000001</v>
      </c>
      <c r="Q19" s="43" t="s">
        <v>46</v>
      </c>
      <c r="R19" s="51">
        <v>44965</v>
      </c>
      <c r="S19" s="51">
        <v>45012</v>
      </c>
      <c r="T19" s="43"/>
      <c r="U19" s="43"/>
      <c r="V19" s="52"/>
      <c r="W19" s="53">
        <v>45042</v>
      </c>
      <c r="X19" s="54"/>
      <c r="Y19" s="54" t="s">
        <v>49</v>
      </c>
      <c r="Z19" s="51">
        <v>45063</v>
      </c>
      <c r="AA19" s="43"/>
    </row>
    <row r="20" spans="1:27">
      <c r="A20" s="43">
        <v>7</v>
      </c>
      <c r="B20" s="33" t="s">
        <v>64</v>
      </c>
      <c r="C20" s="44" t="s">
        <v>65</v>
      </c>
      <c r="D20" s="43" t="s">
        <v>61</v>
      </c>
      <c r="E20" s="45" t="s">
        <v>46</v>
      </c>
      <c r="F20" s="46">
        <v>15504007600322</v>
      </c>
      <c r="G20" s="47" t="s">
        <v>62</v>
      </c>
      <c r="H20" s="48">
        <v>960</v>
      </c>
      <c r="I20" s="49">
        <v>1984</v>
      </c>
      <c r="J20" s="43" t="s">
        <v>58</v>
      </c>
      <c r="K20" s="48">
        <v>144</v>
      </c>
      <c r="L20" s="48">
        <v>144</v>
      </c>
      <c r="M20" s="48">
        <v>197.32</v>
      </c>
      <c r="N20" s="48">
        <f t="shared" si="0"/>
        <v>485.32</v>
      </c>
      <c r="O20" s="50">
        <v>10000</v>
      </c>
      <c r="P20" s="48">
        <f t="shared" si="1"/>
        <v>10485.32</v>
      </c>
      <c r="Q20" s="43" t="s">
        <v>46</v>
      </c>
      <c r="R20" s="51">
        <v>44965</v>
      </c>
      <c r="S20" s="51">
        <v>45007</v>
      </c>
      <c r="T20" s="43"/>
      <c r="U20" s="43"/>
      <c r="V20" s="52"/>
      <c r="W20" s="53">
        <v>45042</v>
      </c>
      <c r="X20" s="54"/>
      <c r="Y20" s="54" t="s">
        <v>49</v>
      </c>
      <c r="Z20" s="51">
        <v>45064</v>
      </c>
      <c r="AA20" s="43"/>
    </row>
    <row r="21" spans="1:27">
      <c r="A21" s="44">
        <v>8</v>
      </c>
      <c r="B21" s="33" t="s">
        <v>64</v>
      </c>
      <c r="C21" s="44" t="s">
        <v>66</v>
      </c>
      <c r="D21" s="43" t="s">
        <v>67</v>
      </c>
      <c r="E21" s="45" t="s">
        <v>46</v>
      </c>
      <c r="F21" s="46">
        <v>15504007600354</v>
      </c>
      <c r="G21" s="47" t="s">
        <v>68</v>
      </c>
      <c r="H21" s="48">
        <v>3460</v>
      </c>
      <c r="I21" s="49">
        <v>48</v>
      </c>
      <c r="J21" s="43" t="s">
        <v>58</v>
      </c>
      <c r="K21" s="48">
        <v>519</v>
      </c>
      <c r="L21" s="48">
        <v>519</v>
      </c>
      <c r="M21" s="48">
        <v>714.1</v>
      </c>
      <c r="N21" s="48">
        <f t="shared" si="0"/>
        <v>1752.1</v>
      </c>
      <c r="O21" s="50">
        <v>10000</v>
      </c>
      <c r="P21" s="48">
        <f t="shared" si="1"/>
        <v>11752.1</v>
      </c>
      <c r="Q21" s="43" t="s">
        <v>46</v>
      </c>
      <c r="R21" s="51">
        <v>44965</v>
      </c>
      <c r="S21" s="51">
        <v>45007</v>
      </c>
      <c r="T21" s="43"/>
      <c r="U21" s="43"/>
      <c r="V21" s="52"/>
      <c r="W21" s="53">
        <v>45042</v>
      </c>
      <c r="X21" s="54"/>
      <c r="Y21" s="54" t="s">
        <v>49</v>
      </c>
      <c r="Z21" s="51">
        <v>45064</v>
      </c>
      <c r="AA21" s="43"/>
    </row>
    <row r="22" spans="1:27" s="67" customFormat="1">
      <c r="A22" s="44">
        <v>9</v>
      </c>
      <c r="B22" s="56" t="s">
        <v>69</v>
      </c>
      <c r="C22" s="44" t="s">
        <v>70</v>
      </c>
      <c r="D22" s="70" t="s">
        <v>71</v>
      </c>
      <c r="E22" s="68" t="s">
        <v>72</v>
      </c>
      <c r="F22" s="69"/>
      <c r="G22" s="59" t="s">
        <v>73</v>
      </c>
      <c r="H22" s="60">
        <v>35710</v>
      </c>
      <c r="I22" s="61">
        <v>69</v>
      </c>
      <c r="J22" s="44" t="s">
        <v>74</v>
      </c>
      <c r="K22" s="60">
        <v>5892.15</v>
      </c>
      <c r="L22" s="60">
        <v>3928.1</v>
      </c>
      <c r="M22" s="60">
        <v>6606.35</v>
      </c>
      <c r="N22" s="60">
        <f t="shared" si="0"/>
        <v>16426.599999999999</v>
      </c>
      <c r="O22" s="62">
        <v>10000</v>
      </c>
      <c r="P22" s="60">
        <f t="shared" si="1"/>
        <v>26426.6</v>
      </c>
      <c r="Q22" s="44" t="s">
        <v>72</v>
      </c>
      <c r="R22" s="44" t="s">
        <v>75</v>
      </c>
      <c r="S22" s="44"/>
      <c r="T22" s="44"/>
      <c r="U22" s="44"/>
      <c r="V22" s="64"/>
      <c r="W22" s="65"/>
      <c r="X22" s="66"/>
      <c r="Y22" s="66"/>
      <c r="Z22" s="44"/>
      <c r="AA22" s="44"/>
    </row>
    <row r="23" spans="1:27">
      <c r="A23" s="43">
        <v>10</v>
      </c>
      <c r="B23" s="33" t="s">
        <v>76</v>
      </c>
      <c r="C23" s="44" t="s">
        <v>77</v>
      </c>
      <c r="D23" s="43" t="s">
        <v>78</v>
      </c>
      <c r="E23" s="45" t="s">
        <v>79</v>
      </c>
      <c r="F23" s="46">
        <v>15504004900308</v>
      </c>
      <c r="G23" s="47" t="s">
        <v>36</v>
      </c>
      <c r="H23" s="48">
        <v>2680</v>
      </c>
      <c r="I23" s="49">
        <v>4635</v>
      </c>
      <c r="J23" s="43" t="s">
        <v>37</v>
      </c>
      <c r="K23" s="48">
        <v>509.2</v>
      </c>
      <c r="L23" s="48">
        <v>509.2</v>
      </c>
      <c r="M23" s="48">
        <v>705.5</v>
      </c>
      <c r="N23" s="48">
        <f t="shared" si="0"/>
        <v>1723.9</v>
      </c>
      <c r="O23" s="50">
        <v>10000</v>
      </c>
      <c r="P23" s="48">
        <f t="shared" si="1"/>
        <v>11723.9</v>
      </c>
      <c r="Q23" s="43" t="s">
        <v>79</v>
      </c>
      <c r="R23" s="51">
        <v>44985</v>
      </c>
      <c r="S23" s="51">
        <v>45006</v>
      </c>
      <c r="T23" s="43"/>
      <c r="U23" s="43"/>
      <c r="V23" s="52"/>
      <c r="W23" s="53">
        <v>45041</v>
      </c>
      <c r="X23" s="54"/>
      <c r="Y23" s="54" t="s">
        <v>54</v>
      </c>
      <c r="Z23" s="43"/>
      <c r="AA23" s="43"/>
    </row>
    <row r="24" spans="1:27">
      <c r="A24" s="44">
        <v>11</v>
      </c>
      <c r="B24" s="33" t="s">
        <v>80</v>
      </c>
      <c r="C24" s="44" t="s">
        <v>81</v>
      </c>
      <c r="D24" s="43">
        <v>50114</v>
      </c>
      <c r="E24" s="45" t="s">
        <v>82</v>
      </c>
      <c r="F24" s="46">
        <v>15504004500620</v>
      </c>
      <c r="G24" s="47" t="s">
        <v>83</v>
      </c>
      <c r="H24" s="48">
        <v>29560</v>
      </c>
      <c r="I24" s="49">
        <v>821</v>
      </c>
      <c r="J24" s="43" t="s">
        <v>58</v>
      </c>
      <c r="K24" s="48">
        <v>6651</v>
      </c>
      <c r="L24" s="48">
        <v>4434</v>
      </c>
      <c r="M24" s="48">
        <v>7596.92</v>
      </c>
      <c r="N24" s="48">
        <f t="shared" si="0"/>
        <v>18681.919999999998</v>
      </c>
      <c r="O24" s="50">
        <v>10000</v>
      </c>
      <c r="P24" s="48">
        <f t="shared" si="1"/>
        <v>28681.919999999998</v>
      </c>
      <c r="Q24" s="43" t="s">
        <v>82</v>
      </c>
      <c r="R24" s="51">
        <v>45002</v>
      </c>
      <c r="S24" s="51">
        <v>44873</v>
      </c>
      <c r="T24" s="51"/>
      <c r="U24" s="43"/>
      <c r="V24" s="52"/>
      <c r="W24" s="53">
        <v>45016</v>
      </c>
      <c r="X24" s="54"/>
      <c r="Y24" s="54"/>
      <c r="Z24" s="43" t="s">
        <v>54</v>
      </c>
      <c r="AA24" s="43"/>
    </row>
    <row r="25" spans="1:27">
      <c r="A25" s="44">
        <v>12</v>
      </c>
      <c r="B25" s="33" t="s">
        <v>84</v>
      </c>
      <c r="C25" s="44" t="s">
        <v>85</v>
      </c>
      <c r="D25" s="43" t="s">
        <v>86</v>
      </c>
      <c r="E25" s="45" t="s">
        <v>87</v>
      </c>
      <c r="F25" s="46">
        <v>15504006903514</v>
      </c>
      <c r="G25" s="47" t="s">
        <v>68</v>
      </c>
      <c r="H25" s="48">
        <v>45500</v>
      </c>
      <c r="I25" s="49">
        <v>3792</v>
      </c>
      <c r="J25" s="43" t="s">
        <v>37</v>
      </c>
      <c r="K25" s="71"/>
      <c r="L25" s="71"/>
      <c r="M25" s="71"/>
      <c r="N25" s="48">
        <f t="shared" si="0"/>
        <v>0</v>
      </c>
      <c r="O25" s="50">
        <v>10000</v>
      </c>
      <c r="P25" s="48">
        <f t="shared" si="1"/>
        <v>10000</v>
      </c>
      <c r="Q25" s="43" t="s">
        <v>87</v>
      </c>
      <c r="R25" s="51">
        <v>44897</v>
      </c>
      <c r="S25" s="51">
        <v>45014</v>
      </c>
      <c r="T25" s="51"/>
      <c r="U25" s="43"/>
      <c r="V25" s="72"/>
      <c r="W25" s="51"/>
      <c r="X25" s="54"/>
      <c r="Y25" s="54"/>
      <c r="Z25" s="43"/>
      <c r="AA25" s="43"/>
    </row>
    <row r="26" spans="1:27">
      <c r="A26" s="43">
        <v>13</v>
      </c>
      <c r="B26" s="33" t="s">
        <v>88</v>
      </c>
      <c r="C26" s="44" t="s">
        <v>89</v>
      </c>
      <c r="D26" s="43" t="s">
        <v>90</v>
      </c>
      <c r="E26" s="45" t="s">
        <v>57</v>
      </c>
      <c r="F26" s="46">
        <v>15504003101758</v>
      </c>
      <c r="G26" s="47" t="s">
        <v>91</v>
      </c>
      <c r="H26" s="48">
        <v>14950</v>
      </c>
      <c r="I26" s="49">
        <v>356</v>
      </c>
      <c r="J26" s="43" t="s">
        <v>92</v>
      </c>
      <c r="K26" s="48">
        <v>897</v>
      </c>
      <c r="L26" s="48">
        <v>897</v>
      </c>
      <c r="M26" s="48">
        <v>1136.2</v>
      </c>
      <c r="N26" s="48">
        <f t="shared" si="0"/>
        <v>2930.2</v>
      </c>
      <c r="O26" s="50">
        <v>10000</v>
      </c>
      <c r="P26" s="48">
        <f t="shared" si="1"/>
        <v>12930.2</v>
      </c>
      <c r="Q26" s="43" t="s">
        <v>57</v>
      </c>
      <c r="R26" s="51">
        <v>44960</v>
      </c>
      <c r="S26" s="51">
        <v>45015</v>
      </c>
      <c r="T26" s="43"/>
      <c r="U26" s="43"/>
      <c r="V26" s="52"/>
      <c r="W26" s="53">
        <v>45027</v>
      </c>
      <c r="X26" s="73">
        <v>44992</v>
      </c>
      <c r="Y26" s="54" t="s">
        <v>93</v>
      </c>
      <c r="Z26" s="51">
        <v>45065</v>
      </c>
      <c r="AA26" s="43"/>
    </row>
    <row r="27" spans="1:27" s="67" customFormat="1">
      <c r="A27" s="44">
        <v>14</v>
      </c>
      <c r="B27" s="56" t="s">
        <v>94</v>
      </c>
      <c r="C27" s="44" t="s">
        <v>95</v>
      </c>
      <c r="D27" s="44" t="s">
        <v>96</v>
      </c>
      <c r="E27" s="68" t="s">
        <v>97</v>
      </c>
      <c r="F27" s="69">
        <v>15504009502139</v>
      </c>
      <c r="G27" s="59" t="s">
        <v>98</v>
      </c>
      <c r="H27" s="60">
        <v>3240</v>
      </c>
      <c r="I27" s="61">
        <v>36</v>
      </c>
      <c r="J27" s="44" t="s">
        <v>37</v>
      </c>
      <c r="K27" s="60">
        <v>615.6</v>
      </c>
      <c r="L27" s="60">
        <v>615.6</v>
      </c>
      <c r="M27" s="60">
        <v>855.42</v>
      </c>
      <c r="N27" s="60">
        <f t="shared" si="0"/>
        <v>2086.62</v>
      </c>
      <c r="O27" s="62">
        <v>10000</v>
      </c>
      <c r="P27" s="60">
        <f t="shared" si="1"/>
        <v>12086.619999999999</v>
      </c>
      <c r="Q27" s="44" t="s">
        <v>97</v>
      </c>
      <c r="R27" s="63">
        <v>44986</v>
      </c>
      <c r="S27" s="44"/>
      <c r="T27" s="44"/>
      <c r="U27" s="44"/>
      <c r="V27" s="64"/>
      <c r="W27" s="65"/>
      <c r="X27" s="66"/>
      <c r="Y27" s="66"/>
      <c r="Z27" s="44"/>
      <c r="AA27" s="44"/>
    </row>
    <row r="28" spans="1:27" s="67" customFormat="1">
      <c r="A28" s="44">
        <v>15</v>
      </c>
      <c r="B28" s="56" t="s">
        <v>99</v>
      </c>
      <c r="C28" s="44" t="s">
        <v>100</v>
      </c>
      <c r="D28" s="44" t="s">
        <v>101</v>
      </c>
      <c r="E28" s="68" t="s">
        <v>102</v>
      </c>
      <c r="F28" s="69">
        <v>15504002300218</v>
      </c>
      <c r="G28" s="59" t="s">
        <v>103</v>
      </c>
      <c r="H28" s="60">
        <v>10150</v>
      </c>
      <c r="I28" s="61">
        <v>59</v>
      </c>
      <c r="J28" s="44" t="s">
        <v>37</v>
      </c>
      <c r="K28" s="60">
        <v>2892.75</v>
      </c>
      <c r="L28" s="60">
        <v>1928.5</v>
      </c>
      <c r="M28" s="60">
        <v>3339.36</v>
      </c>
      <c r="N28" s="60">
        <f t="shared" si="0"/>
        <v>8160.6100000000006</v>
      </c>
      <c r="O28" s="62">
        <v>10000</v>
      </c>
      <c r="P28" s="60">
        <f t="shared" si="1"/>
        <v>18160.61</v>
      </c>
      <c r="Q28" s="44" t="s">
        <v>102</v>
      </c>
      <c r="R28" s="63">
        <v>44875</v>
      </c>
      <c r="S28" s="63"/>
      <c r="T28" s="63"/>
      <c r="U28" s="44"/>
      <c r="V28" s="64"/>
      <c r="W28" s="65">
        <v>45043</v>
      </c>
      <c r="X28" s="66"/>
      <c r="Y28" s="74" t="s">
        <v>104</v>
      </c>
      <c r="Z28" s="63">
        <v>45064</v>
      </c>
      <c r="AA28" s="44"/>
    </row>
    <row r="29" spans="1:27" s="67" customFormat="1">
      <c r="A29" s="43">
        <v>16</v>
      </c>
      <c r="B29" s="56" t="s">
        <v>105</v>
      </c>
      <c r="C29" s="44" t="s">
        <v>106</v>
      </c>
      <c r="D29" s="44" t="s">
        <v>107</v>
      </c>
      <c r="E29" s="68" t="s">
        <v>108</v>
      </c>
      <c r="F29" s="69">
        <v>15504007702908</v>
      </c>
      <c r="G29" s="59" t="s">
        <v>109</v>
      </c>
      <c r="H29" s="60">
        <v>22540</v>
      </c>
      <c r="I29" s="61">
        <v>805</v>
      </c>
      <c r="J29" s="44" t="s">
        <v>37</v>
      </c>
      <c r="K29" s="60">
        <f>3381+901.6</f>
        <v>4282.6000000000004</v>
      </c>
      <c r="L29" s="60">
        <v>4282.6000000000004</v>
      </c>
      <c r="M29" s="60">
        <f>4868.7+1063.9</f>
        <v>5932.6</v>
      </c>
      <c r="N29" s="60">
        <f t="shared" si="0"/>
        <v>14497.800000000001</v>
      </c>
      <c r="O29" s="62">
        <v>10000</v>
      </c>
      <c r="P29" s="60">
        <f t="shared" si="1"/>
        <v>24497.800000000003</v>
      </c>
      <c r="Q29" s="44" t="s">
        <v>108</v>
      </c>
      <c r="R29" s="63">
        <v>44890</v>
      </c>
      <c r="S29" s="63">
        <v>45014</v>
      </c>
      <c r="T29" s="63"/>
      <c r="U29" s="44"/>
      <c r="V29" s="64"/>
      <c r="W29" s="65">
        <v>45028</v>
      </c>
      <c r="X29" s="66"/>
      <c r="Y29" s="66"/>
      <c r="Z29" s="44" t="s">
        <v>54</v>
      </c>
      <c r="AA29" s="63">
        <v>45061</v>
      </c>
    </row>
    <row r="30" spans="1:27">
      <c r="A30" s="44">
        <v>17</v>
      </c>
      <c r="B30" s="33" t="s">
        <v>105</v>
      </c>
      <c r="C30" s="44" t="s">
        <v>110</v>
      </c>
      <c r="D30" s="43">
        <v>33554</v>
      </c>
      <c r="E30" s="45" t="s">
        <v>111</v>
      </c>
      <c r="F30" s="46">
        <v>15504010403215</v>
      </c>
      <c r="G30" s="47" t="s">
        <v>68</v>
      </c>
      <c r="H30" s="48">
        <v>56990</v>
      </c>
      <c r="I30" s="49">
        <v>695</v>
      </c>
      <c r="J30" s="43" t="s">
        <v>37</v>
      </c>
      <c r="K30" s="71">
        <f>8548.5+2279.6</f>
        <v>10828.1</v>
      </c>
      <c r="L30" s="71">
        <v>10828.1</v>
      </c>
      <c r="M30" s="71">
        <f>12309.9+2689.94</f>
        <v>14999.84</v>
      </c>
      <c r="N30" s="48">
        <f t="shared" si="0"/>
        <v>36656.04</v>
      </c>
      <c r="O30" s="50">
        <v>10000</v>
      </c>
      <c r="P30" s="48">
        <f t="shared" si="1"/>
        <v>46656.04</v>
      </c>
      <c r="Q30" s="43" t="s">
        <v>111</v>
      </c>
      <c r="R30" s="51">
        <v>44888</v>
      </c>
      <c r="S30" s="51">
        <v>45008</v>
      </c>
      <c r="T30" s="43"/>
      <c r="U30" s="43"/>
      <c r="V30" s="72"/>
      <c r="W30" s="51">
        <v>45028</v>
      </c>
      <c r="X30" s="54"/>
      <c r="Y30" s="54"/>
      <c r="Z30" s="43" t="s">
        <v>54</v>
      </c>
      <c r="AA30" s="51">
        <v>45061</v>
      </c>
    </row>
    <row r="31" spans="1:27">
      <c r="A31" s="44">
        <v>18</v>
      </c>
      <c r="B31" s="33" t="s">
        <v>105</v>
      </c>
      <c r="C31" s="44" t="s">
        <v>112</v>
      </c>
      <c r="D31" s="43">
        <v>35441</v>
      </c>
      <c r="E31" s="45" t="s">
        <v>111</v>
      </c>
      <c r="F31" s="46">
        <v>15504010403228</v>
      </c>
      <c r="G31" s="75" t="s">
        <v>91</v>
      </c>
      <c r="H31" s="48">
        <v>45840</v>
      </c>
      <c r="I31" s="49">
        <v>559</v>
      </c>
      <c r="J31" s="43" t="s">
        <v>37</v>
      </c>
      <c r="K31" s="71">
        <f>6876+1833.6</f>
        <v>8709.6</v>
      </c>
      <c r="L31" s="71">
        <v>8709.6</v>
      </c>
      <c r="M31" s="71">
        <f>9901.5+2163.66</f>
        <v>12065.16</v>
      </c>
      <c r="N31" s="48">
        <f t="shared" si="0"/>
        <v>29484.36</v>
      </c>
      <c r="O31" s="50">
        <v>10000</v>
      </c>
      <c r="P31" s="48">
        <f t="shared" si="1"/>
        <v>39484.36</v>
      </c>
      <c r="Q31" s="43" t="s">
        <v>111</v>
      </c>
      <c r="R31" s="51">
        <v>44888</v>
      </c>
      <c r="S31" s="51">
        <v>45008</v>
      </c>
      <c r="T31" s="43"/>
      <c r="U31" s="43"/>
      <c r="V31" s="72"/>
      <c r="W31" s="51">
        <v>45028</v>
      </c>
      <c r="X31" s="54"/>
      <c r="Y31" s="54"/>
      <c r="Z31" s="43" t="s">
        <v>54</v>
      </c>
      <c r="AA31" s="51">
        <v>45061</v>
      </c>
    </row>
    <row r="32" spans="1:27">
      <c r="A32" s="43">
        <v>19</v>
      </c>
      <c r="B32" s="33" t="s">
        <v>105</v>
      </c>
      <c r="C32" s="44" t="s">
        <v>113</v>
      </c>
      <c r="D32" s="43" t="s">
        <v>114</v>
      </c>
      <c r="E32" s="45" t="s">
        <v>111</v>
      </c>
      <c r="F32" s="46">
        <v>15504010403325</v>
      </c>
      <c r="G32" s="47" t="s">
        <v>91</v>
      </c>
      <c r="H32" s="48">
        <v>38540</v>
      </c>
      <c r="I32" s="49">
        <v>470</v>
      </c>
      <c r="J32" s="43" t="s">
        <v>115</v>
      </c>
      <c r="K32" s="71">
        <f>5781+385.4</f>
        <v>6166.4</v>
      </c>
      <c r="L32" s="71">
        <v>6166.4</v>
      </c>
      <c r="M32" s="71">
        <f>8216.78+462.08</f>
        <v>8678.86</v>
      </c>
      <c r="N32" s="48">
        <f t="shared" si="0"/>
        <v>21011.66</v>
      </c>
      <c r="O32" s="50">
        <v>10000</v>
      </c>
      <c r="P32" s="48">
        <f t="shared" si="1"/>
        <v>31011.66</v>
      </c>
      <c r="Q32" s="43" t="s">
        <v>111</v>
      </c>
      <c r="R32" s="51">
        <v>44888</v>
      </c>
      <c r="S32" s="51">
        <v>45008</v>
      </c>
      <c r="T32" s="43"/>
      <c r="U32" s="43"/>
      <c r="V32" s="72"/>
      <c r="W32" s="51">
        <v>45028</v>
      </c>
      <c r="X32" s="54"/>
      <c r="Y32" s="54"/>
      <c r="Z32" s="43" t="s">
        <v>54</v>
      </c>
      <c r="AA32" s="51">
        <v>45061</v>
      </c>
    </row>
    <row r="33" spans="1:31" s="67" customFormat="1">
      <c r="A33" s="44">
        <v>20</v>
      </c>
      <c r="B33" s="56" t="s">
        <v>105</v>
      </c>
      <c r="C33" s="44" t="s">
        <v>116</v>
      </c>
      <c r="D33" s="76" t="s">
        <v>117</v>
      </c>
      <c r="E33" s="68" t="s">
        <v>118</v>
      </c>
      <c r="F33" s="69">
        <v>15504008803309</v>
      </c>
      <c r="G33" s="59" t="s">
        <v>119</v>
      </c>
      <c r="H33" s="60">
        <v>94190</v>
      </c>
      <c r="I33" s="61">
        <v>3364</v>
      </c>
      <c r="J33" s="44" t="s">
        <v>42</v>
      </c>
      <c r="K33" s="60">
        <v>17986.099999999999</v>
      </c>
      <c r="L33" s="60">
        <v>17986.099999999999</v>
      </c>
      <c r="M33" s="60">
        <v>24790.880000000001</v>
      </c>
      <c r="N33" s="60">
        <f t="shared" si="0"/>
        <v>60763.08</v>
      </c>
      <c r="O33" s="62">
        <v>10000</v>
      </c>
      <c r="P33" s="60">
        <f t="shared" si="1"/>
        <v>70763.08</v>
      </c>
      <c r="Q33" s="44" t="s">
        <v>118</v>
      </c>
      <c r="R33" s="63">
        <v>44993</v>
      </c>
      <c r="S33" s="63">
        <v>45015</v>
      </c>
      <c r="T33" s="44"/>
      <c r="U33" s="44"/>
      <c r="V33" s="64"/>
      <c r="W33" s="65">
        <v>45040</v>
      </c>
      <c r="X33" s="66"/>
      <c r="Y33" s="66" t="s">
        <v>54</v>
      </c>
      <c r="Z33" s="44"/>
      <c r="AA33" s="44"/>
    </row>
    <row r="34" spans="1:31">
      <c r="A34" s="44">
        <v>21</v>
      </c>
      <c r="B34" s="33" t="s">
        <v>105</v>
      </c>
      <c r="C34" s="44" t="s">
        <v>120</v>
      </c>
      <c r="D34" s="43" t="s">
        <v>121</v>
      </c>
      <c r="E34" s="45" t="s">
        <v>118</v>
      </c>
      <c r="F34" s="46">
        <v>15504008803333</v>
      </c>
      <c r="G34" s="47" t="s">
        <v>119</v>
      </c>
      <c r="H34" s="48">
        <v>47910</v>
      </c>
      <c r="I34" s="49">
        <v>1711</v>
      </c>
      <c r="J34" s="43" t="s">
        <v>63</v>
      </c>
      <c r="K34" s="48">
        <v>6707.4</v>
      </c>
      <c r="L34" s="48">
        <v>6707.4</v>
      </c>
      <c r="M34" s="48">
        <v>9160.3410000000003</v>
      </c>
      <c r="N34" s="48">
        <f t="shared" si="0"/>
        <v>22575.141</v>
      </c>
      <c r="O34" s="50">
        <v>10000</v>
      </c>
      <c r="P34" s="48">
        <f t="shared" si="1"/>
        <v>32575.141</v>
      </c>
      <c r="Q34" s="43" t="s">
        <v>118</v>
      </c>
      <c r="R34" s="51">
        <v>44993</v>
      </c>
      <c r="S34" s="51">
        <v>45015</v>
      </c>
      <c r="T34" s="43"/>
      <c r="U34" s="43"/>
      <c r="V34" s="52"/>
      <c r="W34" s="53">
        <v>45040</v>
      </c>
      <c r="X34" s="54"/>
      <c r="Y34" s="54" t="s">
        <v>54</v>
      </c>
      <c r="Z34" s="43"/>
      <c r="AA34" s="43"/>
    </row>
    <row r="35" spans="1:31" s="67" customFormat="1">
      <c r="A35" s="43">
        <v>22</v>
      </c>
      <c r="B35" s="77" t="s">
        <v>122</v>
      </c>
      <c r="C35" s="44" t="s">
        <v>123</v>
      </c>
      <c r="D35" s="44" t="s">
        <v>124</v>
      </c>
      <c r="E35" s="68" t="s">
        <v>125</v>
      </c>
      <c r="F35" s="69">
        <v>15504007101007</v>
      </c>
      <c r="G35" s="59" t="s">
        <v>36</v>
      </c>
      <c r="H35" s="60">
        <v>14970</v>
      </c>
      <c r="I35" s="61">
        <v>24789</v>
      </c>
      <c r="J35" s="44" t="s">
        <v>37</v>
      </c>
      <c r="K35" s="78">
        <v>2844.3</v>
      </c>
      <c r="L35" s="78">
        <v>2844.3</v>
      </c>
      <c r="M35" s="78">
        <v>3939.98</v>
      </c>
      <c r="N35" s="60">
        <f t="shared" si="0"/>
        <v>9628.58</v>
      </c>
      <c r="O35" s="62">
        <v>10000</v>
      </c>
      <c r="P35" s="60">
        <f t="shared" si="1"/>
        <v>19628.580000000002</v>
      </c>
      <c r="Q35" s="44" t="s">
        <v>125</v>
      </c>
      <c r="R35" s="63">
        <v>45007</v>
      </c>
      <c r="S35" s="44"/>
      <c r="T35" s="44"/>
      <c r="U35" s="44"/>
      <c r="V35" s="79"/>
      <c r="W35" s="63"/>
      <c r="X35" s="66"/>
      <c r="Y35" s="66"/>
      <c r="Z35" s="44"/>
      <c r="AA35" s="44"/>
    </row>
    <row r="36" spans="1:31">
      <c r="A36" s="44">
        <v>23</v>
      </c>
      <c r="B36" s="33" t="s">
        <v>126</v>
      </c>
      <c r="C36" s="44" t="s">
        <v>127</v>
      </c>
      <c r="D36" s="43" t="s">
        <v>52</v>
      </c>
      <c r="E36" s="45" t="s">
        <v>53</v>
      </c>
      <c r="F36" s="46">
        <v>15504001200617</v>
      </c>
      <c r="G36" s="47" t="s">
        <v>36</v>
      </c>
      <c r="H36" s="48">
        <v>22220</v>
      </c>
      <c r="I36" s="49">
        <v>49993</v>
      </c>
      <c r="J36" s="43" t="s">
        <v>128</v>
      </c>
      <c r="K36" s="48">
        <v>3110.8</v>
      </c>
      <c r="L36" s="48">
        <v>3110.8</v>
      </c>
      <c r="M36" s="48">
        <f>2208.62+2208.62</f>
        <v>4417.24</v>
      </c>
      <c r="N36" s="48">
        <f t="shared" si="0"/>
        <v>10638.84</v>
      </c>
      <c r="O36" s="50">
        <v>10000</v>
      </c>
      <c r="P36" s="48">
        <f t="shared" si="1"/>
        <v>20638.84</v>
      </c>
      <c r="Q36" s="43" t="s">
        <v>53</v>
      </c>
      <c r="R36" s="51">
        <v>44876</v>
      </c>
      <c r="S36" s="51"/>
      <c r="T36" s="51"/>
      <c r="U36" s="43"/>
      <c r="V36" s="52"/>
      <c r="W36" s="53"/>
      <c r="X36" s="54"/>
      <c r="Y36" s="54"/>
      <c r="Z36" s="43"/>
      <c r="AA36" s="43"/>
    </row>
    <row r="37" spans="1:31" s="67" customFormat="1">
      <c r="A37" s="44">
        <v>24</v>
      </c>
      <c r="B37" s="77" t="s">
        <v>129</v>
      </c>
      <c r="C37" s="44" t="s">
        <v>130</v>
      </c>
      <c r="D37" s="44" t="s">
        <v>131</v>
      </c>
      <c r="E37" s="68" t="s">
        <v>132</v>
      </c>
      <c r="F37" s="69">
        <v>15504006500502</v>
      </c>
      <c r="G37" s="59" t="s">
        <v>36</v>
      </c>
      <c r="H37" s="60">
        <v>25910</v>
      </c>
      <c r="I37" s="61">
        <v>45797</v>
      </c>
      <c r="J37" s="44" t="s">
        <v>37</v>
      </c>
      <c r="K37" s="60">
        <f>3886.5+1036.4</f>
        <v>4922.8999999999996</v>
      </c>
      <c r="L37" s="60">
        <v>4922.8999999999996</v>
      </c>
      <c r="M37" s="60">
        <f>5596.5+1222.94</f>
        <v>6819.4400000000005</v>
      </c>
      <c r="N37" s="60">
        <f t="shared" si="0"/>
        <v>16665.239999999998</v>
      </c>
      <c r="O37" s="62">
        <v>10000</v>
      </c>
      <c r="P37" s="60">
        <f t="shared" si="1"/>
        <v>26665.239999999998</v>
      </c>
      <c r="Q37" s="44" t="s">
        <v>132</v>
      </c>
      <c r="R37" s="63">
        <v>45000</v>
      </c>
      <c r="S37" s="63">
        <v>44880</v>
      </c>
      <c r="T37" s="63"/>
      <c r="U37" s="44"/>
      <c r="V37" s="64"/>
      <c r="W37" s="65">
        <v>45030</v>
      </c>
      <c r="X37" s="66"/>
      <c r="Y37" s="66"/>
      <c r="Z37" s="44" t="s">
        <v>54</v>
      </c>
      <c r="AA37" s="63">
        <v>45058</v>
      </c>
    </row>
    <row r="38" spans="1:31" s="67" customFormat="1">
      <c r="A38" s="43">
        <v>25</v>
      </c>
      <c r="B38" s="77" t="s">
        <v>129</v>
      </c>
      <c r="C38" s="44" t="s">
        <v>133</v>
      </c>
      <c r="D38" s="44" t="s">
        <v>134</v>
      </c>
      <c r="E38" s="68" t="s">
        <v>135</v>
      </c>
      <c r="F38" s="69">
        <v>15504009600904</v>
      </c>
      <c r="G38" s="59" t="s">
        <v>36</v>
      </c>
      <c r="H38" s="60">
        <v>19090</v>
      </c>
      <c r="I38" s="61">
        <v>34770</v>
      </c>
      <c r="J38" s="44" t="s">
        <v>37</v>
      </c>
      <c r="K38" s="60">
        <v>3627.1</v>
      </c>
      <c r="L38" s="60">
        <v>3627.1</v>
      </c>
      <c r="M38" s="60">
        <v>5039.82</v>
      </c>
      <c r="N38" s="60">
        <f t="shared" si="0"/>
        <v>12294.02</v>
      </c>
      <c r="O38" s="62">
        <v>10000</v>
      </c>
      <c r="P38" s="60">
        <f t="shared" si="1"/>
        <v>22294.02</v>
      </c>
      <c r="Q38" s="44" t="s">
        <v>135</v>
      </c>
      <c r="R38" s="63">
        <v>44880</v>
      </c>
      <c r="S38" s="63">
        <v>45002</v>
      </c>
      <c r="T38" s="44"/>
      <c r="U38" s="63"/>
      <c r="V38" s="64"/>
      <c r="W38" s="65"/>
      <c r="X38" s="66"/>
      <c r="Y38" s="66" t="s">
        <v>54</v>
      </c>
      <c r="Z38" s="63">
        <v>45063</v>
      </c>
      <c r="AA38" s="44"/>
    </row>
    <row r="39" spans="1:31">
      <c r="A39" s="44">
        <v>26</v>
      </c>
      <c r="B39" s="33" t="s">
        <v>136</v>
      </c>
      <c r="C39" s="44" t="s">
        <v>137</v>
      </c>
      <c r="D39" s="43" t="s">
        <v>138</v>
      </c>
      <c r="E39" s="45" t="s">
        <v>46</v>
      </c>
      <c r="F39" s="46">
        <v>15504007602346</v>
      </c>
      <c r="G39" s="47" t="s">
        <v>47</v>
      </c>
      <c r="H39" s="48">
        <v>3020</v>
      </c>
      <c r="I39" s="49">
        <v>42</v>
      </c>
      <c r="J39" s="43" t="s">
        <v>92</v>
      </c>
      <c r="K39" s="48">
        <v>181.2</v>
      </c>
      <c r="L39" s="48">
        <v>181.2</v>
      </c>
      <c r="M39" s="48">
        <v>229.5</v>
      </c>
      <c r="N39" s="48">
        <f t="shared" si="0"/>
        <v>591.9</v>
      </c>
      <c r="O39" s="50">
        <v>10000</v>
      </c>
      <c r="P39" s="48">
        <f t="shared" si="1"/>
        <v>10591.9</v>
      </c>
      <c r="Q39" s="43" t="s">
        <v>46</v>
      </c>
      <c r="R39" s="51">
        <v>44928</v>
      </c>
      <c r="S39" s="51">
        <v>45007</v>
      </c>
      <c r="T39" s="51">
        <v>45013</v>
      </c>
      <c r="U39" s="43"/>
      <c r="V39" s="52"/>
      <c r="W39" s="53">
        <v>45042</v>
      </c>
      <c r="X39" s="54"/>
      <c r="Y39" s="54" t="s">
        <v>49</v>
      </c>
      <c r="Z39" s="51">
        <v>45063</v>
      </c>
      <c r="AA39" s="43"/>
    </row>
    <row r="40" spans="1:31">
      <c r="A40" s="44">
        <v>27</v>
      </c>
      <c r="B40" s="33" t="s">
        <v>139</v>
      </c>
      <c r="C40" s="44" t="s">
        <v>140</v>
      </c>
      <c r="D40" s="43" t="s">
        <v>141</v>
      </c>
      <c r="E40" s="45" t="s">
        <v>46</v>
      </c>
      <c r="F40" s="46">
        <v>15504007600629</v>
      </c>
      <c r="G40" s="47" t="s">
        <v>68</v>
      </c>
      <c r="H40" s="48">
        <v>56090</v>
      </c>
      <c r="I40" s="49">
        <v>779</v>
      </c>
      <c r="J40" s="43" t="s">
        <v>58</v>
      </c>
      <c r="K40" s="48">
        <v>8143.5</v>
      </c>
      <c r="L40" s="48">
        <v>8413.5</v>
      </c>
      <c r="M40" s="48">
        <v>11532.16</v>
      </c>
      <c r="N40" s="48">
        <f t="shared" si="0"/>
        <v>28089.16</v>
      </c>
      <c r="O40" s="50">
        <v>10000</v>
      </c>
      <c r="P40" s="48">
        <f t="shared" si="1"/>
        <v>38089.160000000003</v>
      </c>
      <c r="Q40" s="43" t="s">
        <v>46</v>
      </c>
      <c r="R40" s="51">
        <v>44965</v>
      </c>
      <c r="S40" s="51">
        <v>44879</v>
      </c>
      <c r="T40" s="51">
        <v>45006</v>
      </c>
      <c r="U40" s="43"/>
      <c r="V40" s="52"/>
      <c r="W40" s="53">
        <v>45049</v>
      </c>
      <c r="X40" s="54"/>
      <c r="Y40" s="54" t="s">
        <v>49</v>
      </c>
      <c r="Z40" s="43"/>
      <c r="AA40" s="43"/>
    </row>
    <row r="41" spans="1:31" ht="25.5">
      <c r="A41" s="43">
        <v>28</v>
      </c>
      <c r="B41" s="80" t="s">
        <v>142</v>
      </c>
      <c r="C41" s="44" t="s">
        <v>143</v>
      </c>
      <c r="D41" s="43" t="s">
        <v>144</v>
      </c>
      <c r="E41" s="45" t="s">
        <v>145</v>
      </c>
      <c r="F41" s="46">
        <v>15504003302360</v>
      </c>
      <c r="G41" s="47" t="s">
        <v>146</v>
      </c>
      <c r="H41" s="48">
        <v>42000</v>
      </c>
      <c r="I41" s="49">
        <v>1000</v>
      </c>
      <c r="J41" s="43" t="s">
        <v>37</v>
      </c>
      <c r="K41" s="48">
        <v>7980</v>
      </c>
      <c r="L41" s="48">
        <v>7980</v>
      </c>
      <c r="M41" s="48">
        <v>11020.8</v>
      </c>
      <c r="N41" s="48">
        <f t="shared" si="0"/>
        <v>26980.799999999999</v>
      </c>
      <c r="O41" s="50">
        <v>10000</v>
      </c>
      <c r="P41" s="48">
        <f t="shared" si="1"/>
        <v>36980.800000000003</v>
      </c>
      <c r="Q41" s="43" t="s">
        <v>145</v>
      </c>
      <c r="R41" s="51">
        <v>44979</v>
      </c>
      <c r="S41" s="51">
        <v>45008</v>
      </c>
      <c r="T41" s="43"/>
      <c r="U41" s="43"/>
      <c r="V41" s="52"/>
      <c r="W41" s="53">
        <v>45029</v>
      </c>
      <c r="X41" s="54"/>
      <c r="Y41" s="54"/>
      <c r="Z41" s="43" t="s">
        <v>49</v>
      </c>
      <c r="AA41" s="43"/>
    </row>
    <row r="42" spans="1:31" ht="25.5">
      <c r="A42" s="44">
        <v>29</v>
      </c>
      <c r="B42" s="80" t="s">
        <v>142</v>
      </c>
      <c r="C42" s="44" t="s">
        <v>147</v>
      </c>
      <c r="D42" s="43" t="s">
        <v>148</v>
      </c>
      <c r="E42" s="45" t="s">
        <v>145</v>
      </c>
      <c r="F42" s="46">
        <v>15504003302303</v>
      </c>
      <c r="G42" s="47" t="s">
        <v>68</v>
      </c>
      <c r="H42" s="48">
        <v>28640</v>
      </c>
      <c r="I42" s="49">
        <v>682</v>
      </c>
      <c r="J42" s="43" t="s">
        <v>37</v>
      </c>
      <c r="K42" s="48">
        <v>5441.6</v>
      </c>
      <c r="L42" s="48">
        <v>5441.6</v>
      </c>
      <c r="M42" s="48">
        <v>7538.12</v>
      </c>
      <c r="N42" s="48">
        <f t="shared" si="0"/>
        <v>18421.32</v>
      </c>
      <c r="O42" s="50">
        <v>10000</v>
      </c>
      <c r="P42" s="48">
        <f t="shared" si="1"/>
        <v>28421.32</v>
      </c>
      <c r="Q42" s="43" t="s">
        <v>145</v>
      </c>
      <c r="R42" s="51">
        <v>44979</v>
      </c>
      <c r="S42" s="51">
        <v>45008</v>
      </c>
      <c r="T42" s="43"/>
      <c r="U42" s="43"/>
      <c r="V42" s="52"/>
      <c r="W42" s="53">
        <v>45029</v>
      </c>
      <c r="X42" s="54"/>
      <c r="Y42" s="54"/>
      <c r="Z42" s="43" t="s">
        <v>49</v>
      </c>
      <c r="AA42" s="43"/>
    </row>
    <row r="43" spans="1:31" ht="25.5">
      <c r="A43" s="44">
        <v>30</v>
      </c>
      <c r="B43" s="80" t="s">
        <v>142</v>
      </c>
      <c r="C43" s="44" t="s">
        <v>149</v>
      </c>
      <c r="D43" s="43" t="s">
        <v>150</v>
      </c>
      <c r="E43" s="45" t="s">
        <v>145</v>
      </c>
      <c r="F43" s="46">
        <v>15504003302319</v>
      </c>
      <c r="G43" s="47" t="s">
        <v>68</v>
      </c>
      <c r="H43" s="48">
        <v>8190</v>
      </c>
      <c r="I43" s="49">
        <v>195</v>
      </c>
      <c r="J43" s="43" t="s">
        <v>37</v>
      </c>
      <c r="K43" s="48">
        <v>1556.1</v>
      </c>
      <c r="L43" s="48">
        <v>1556.1</v>
      </c>
      <c r="M43" s="48">
        <v>2155.6799999999998</v>
      </c>
      <c r="N43" s="48">
        <f t="shared" si="0"/>
        <v>5267.8799999999992</v>
      </c>
      <c r="O43" s="50">
        <v>10000</v>
      </c>
      <c r="P43" s="48">
        <f t="shared" si="1"/>
        <v>15267.88</v>
      </c>
      <c r="Q43" s="43" t="s">
        <v>145</v>
      </c>
      <c r="R43" s="51">
        <v>44979</v>
      </c>
      <c r="S43" s="51">
        <v>45008</v>
      </c>
      <c r="T43" s="43"/>
      <c r="U43" s="43"/>
      <c r="V43" s="52"/>
      <c r="W43" s="53">
        <v>45029</v>
      </c>
      <c r="X43" s="54"/>
      <c r="Y43" s="54"/>
      <c r="Z43" s="43" t="s">
        <v>49</v>
      </c>
      <c r="AA43" s="43"/>
    </row>
    <row r="44" spans="1:31" ht="24" customHeight="1">
      <c r="A44" s="43">
        <v>31</v>
      </c>
      <c r="B44" s="80" t="s">
        <v>142</v>
      </c>
      <c r="C44" s="44" t="s">
        <v>151</v>
      </c>
      <c r="D44" s="43" t="s">
        <v>152</v>
      </c>
      <c r="E44" s="45" t="s">
        <v>145</v>
      </c>
      <c r="F44" s="46">
        <v>15504003301802</v>
      </c>
      <c r="G44" s="47" t="s">
        <v>47</v>
      </c>
      <c r="H44" s="48">
        <v>4150</v>
      </c>
      <c r="I44" s="49">
        <v>122</v>
      </c>
      <c r="J44" s="43" t="s">
        <v>37</v>
      </c>
      <c r="K44" s="48">
        <v>788.5</v>
      </c>
      <c r="L44" s="48">
        <v>788.5</v>
      </c>
      <c r="M44" s="48">
        <v>1092.28</v>
      </c>
      <c r="N44" s="48">
        <f t="shared" si="0"/>
        <v>2669.2799999999997</v>
      </c>
      <c r="O44" s="50">
        <v>10000</v>
      </c>
      <c r="P44" s="48">
        <f t="shared" si="1"/>
        <v>12669.279999999999</v>
      </c>
      <c r="Q44" s="43" t="s">
        <v>145</v>
      </c>
      <c r="R44" s="51">
        <v>44979</v>
      </c>
      <c r="S44" s="51">
        <v>45008</v>
      </c>
      <c r="T44" s="43"/>
      <c r="U44" s="43"/>
      <c r="V44" s="52"/>
      <c r="W44" s="53">
        <v>45029</v>
      </c>
      <c r="X44" s="54"/>
      <c r="Y44" s="54"/>
      <c r="Z44" s="43" t="s">
        <v>49</v>
      </c>
      <c r="AA44" s="43"/>
    </row>
    <row r="45" spans="1:31" ht="25.5">
      <c r="A45" s="44">
        <v>32</v>
      </c>
      <c r="B45" s="80" t="s">
        <v>142</v>
      </c>
      <c r="C45" s="44" t="s">
        <v>153</v>
      </c>
      <c r="D45" s="43" t="s">
        <v>154</v>
      </c>
      <c r="E45" s="45" t="s">
        <v>145</v>
      </c>
      <c r="F45" s="46">
        <v>15504003302221</v>
      </c>
      <c r="G45" s="47" t="s">
        <v>68</v>
      </c>
      <c r="H45" s="48">
        <v>29820</v>
      </c>
      <c r="I45" s="49">
        <v>710</v>
      </c>
      <c r="J45" s="43" t="s">
        <v>37</v>
      </c>
      <c r="K45" s="48">
        <v>5665.8</v>
      </c>
      <c r="L45" s="48">
        <v>5665.8</v>
      </c>
      <c r="M45" s="48">
        <v>7848.5</v>
      </c>
      <c r="N45" s="48">
        <f t="shared" si="0"/>
        <v>19180.099999999999</v>
      </c>
      <c r="O45" s="50">
        <v>10000</v>
      </c>
      <c r="P45" s="48">
        <f t="shared" si="1"/>
        <v>29180.1</v>
      </c>
      <c r="Q45" s="43" t="s">
        <v>145</v>
      </c>
      <c r="R45" s="51">
        <v>44979</v>
      </c>
      <c r="S45" s="51">
        <v>45008</v>
      </c>
      <c r="T45" s="43"/>
      <c r="U45" s="43"/>
      <c r="V45" s="52"/>
      <c r="W45" s="53">
        <v>45029</v>
      </c>
      <c r="X45" s="54"/>
      <c r="Y45" s="54"/>
      <c r="Z45" s="43" t="s">
        <v>49</v>
      </c>
      <c r="AA45" s="43"/>
    </row>
    <row r="46" spans="1:31">
      <c r="A46" s="44">
        <v>33</v>
      </c>
      <c r="B46" s="33" t="s">
        <v>155</v>
      </c>
      <c r="C46" s="44" t="s">
        <v>156</v>
      </c>
      <c r="D46" s="43"/>
      <c r="E46" s="45" t="s">
        <v>46</v>
      </c>
      <c r="F46" s="46">
        <v>15504007601836</v>
      </c>
      <c r="G46" s="47" t="s">
        <v>157</v>
      </c>
      <c r="H46" s="48">
        <v>29500</v>
      </c>
      <c r="I46" s="49"/>
      <c r="J46" s="43" t="s">
        <v>63</v>
      </c>
      <c r="K46" s="48">
        <v>4130</v>
      </c>
      <c r="L46" s="48">
        <v>4130</v>
      </c>
      <c r="M46" s="48">
        <v>5640.4</v>
      </c>
      <c r="N46" s="48">
        <f t="shared" si="0"/>
        <v>13900.4</v>
      </c>
      <c r="O46" s="50">
        <v>10000</v>
      </c>
      <c r="P46" s="48">
        <f t="shared" si="1"/>
        <v>23900.400000000001</v>
      </c>
      <c r="Q46" s="43" t="s">
        <v>46</v>
      </c>
      <c r="R46" s="51">
        <v>44965</v>
      </c>
      <c r="S46" s="51">
        <v>45013</v>
      </c>
      <c r="T46" s="43"/>
      <c r="U46" s="43"/>
      <c r="V46" s="52"/>
      <c r="W46" s="53"/>
      <c r="X46" s="54"/>
      <c r="Y46" s="54"/>
      <c r="Z46" s="43"/>
      <c r="AA46" s="43"/>
      <c r="AE46" s="55" t="s">
        <v>158</v>
      </c>
    </row>
    <row r="47" spans="1:31" s="67" customFormat="1">
      <c r="A47" s="43">
        <v>34</v>
      </c>
      <c r="B47" s="56" t="s">
        <v>159</v>
      </c>
      <c r="C47" s="44" t="s">
        <v>160</v>
      </c>
      <c r="D47" s="44">
        <v>11029</v>
      </c>
      <c r="E47" s="68" t="s">
        <v>161</v>
      </c>
      <c r="F47" s="69">
        <v>15504004702611</v>
      </c>
      <c r="G47" s="59" t="s">
        <v>47</v>
      </c>
      <c r="H47" s="60">
        <v>39690</v>
      </c>
      <c r="I47" s="61">
        <v>441</v>
      </c>
      <c r="J47" s="44" t="s">
        <v>37</v>
      </c>
      <c r="K47" s="78">
        <v>7541.1</v>
      </c>
      <c r="L47" s="78">
        <v>7541.1</v>
      </c>
      <c r="M47" s="78">
        <v>10478.219999999999</v>
      </c>
      <c r="N47" s="60">
        <f t="shared" si="0"/>
        <v>25560.42</v>
      </c>
      <c r="O47" s="62">
        <v>10000</v>
      </c>
      <c r="P47" s="60">
        <f t="shared" si="1"/>
        <v>35560.42</v>
      </c>
      <c r="Q47" s="44" t="s">
        <v>161</v>
      </c>
      <c r="R47" s="63">
        <v>45014</v>
      </c>
      <c r="S47" s="44"/>
      <c r="T47" s="44"/>
      <c r="U47" s="44"/>
      <c r="V47" s="79"/>
      <c r="W47" s="63"/>
      <c r="X47" s="66"/>
      <c r="Y47" s="66"/>
      <c r="Z47" s="44"/>
      <c r="AA47" s="44"/>
    </row>
    <row r="48" spans="1:31">
      <c r="A48" s="44">
        <v>35</v>
      </c>
      <c r="B48" s="33" t="s">
        <v>162</v>
      </c>
      <c r="C48" s="44" t="s">
        <v>163</v>
      </c>
      <c r="D48" s="43" t="s">
        <v>164</v>
      </c>
      <c r="E48" s="45" t="s">
        <v>165</v>
      </c>
      <c r="F48" s="46">
        <v>15504002900906</v>
      </c>
      <c r="G48" s="43" t="s">
        <v>36</v>
      </c>
      <c r="H48" s="48">
        <v>4230</v>
      </c>
      <c r="I48" s="43">
        <v>5823</v>
      </c>
      <c r="J48" s="43" t="s">
        <v>37</v>
      </c>
      <c r="K48" s="48">
        <f>634.5+169.2</f>
        <v>803.7</v>
      </c>
      <c r="L48" s="48">
        <v>803.7</v>
      </c>
      <c r="M48" s="48">
        <v>1070.7</v>
      </c>
      <c r="N48" s="48">
        <f t="shared" si="0"/>
        <v>2678.1000000000004</v>
      </c>
      <c r="O48" s="50">
        <v>10000</v>
      </c>
      <c r="P48" s="48">
        <f t="shared" si="1"/>
        <v>12678.1</v>
      </c>
      <c r="Q48" s="43" t="s">
        <v>165</v>
      </c>
      <c r="R48" s="51">
        <v>44959</v>
      </c>
      <c r="S48" s="51">
        <v>45007</v>
      </c>
      <c r="T48" s="43"/>
      <c r="U48" s="43"/>
      <c r="V48" s="52"/>
      <c r="W48" s="53">
        <v>45016</v>
      </c>
      <c r="X48" s="73">
        <v>45019</v>
      </c>
      <c r="Y48" s="54"/>
      <c r="Z48" s="43" t="s">
        <v>49</v>
      </c>
      <c r="AA48" s="43"/>
    </row>
    <row r="49" spans="1:27" s="67" customFormat="1">
      <c r="A49" s="44">
        <v>36</v>
      </c>
      <c r="B49" s="56" t="s">
        <v>166</v>
      </c>
      <c r="C49" s="44" t="s">
        <v>167</v>
      </c>
      <c r="D49" s="44" t="s">
        <v>168</v>
      </c>
      <c r="E49" s="68" t="s">
        <v>97</v>
      </c>
      <c r="F49" s="69">
        <v>15504009500418</v>
      </c>
      <c r="G49" s="59" t="s">
        <v>47</v>
      </c>
      <c r="H49" s="60">
        <v>170100</v>
      </c>
      <c r="I49" s="61">
        <v>1890</v>
      </c>
      <c r="J49" s="44" t="s">
        <v>169</v>
      </c>
      <c r="K49" s="78">
        <v>11907</v>
      </c>
      <c r="L49" s="78">
        <v>11907</v>
      </c>
      <c r="M49" s="78">
        <v>15513.12</v>
      </c>
      <c r="N49" s="60">
        <f t="shared" si="0"/>
        <v>39327.120000000003</v>
      </c>
      <c r="O49" s="62">
        <v>10000</v>
      </c>
      <c r="P49" s="60">
        <f t="shared" si="1"/>
        <v>49327.12</v>
      </c>
      <c r="Q49" s="44" t="s">
        <v>97</v>
      </c>
      <c r="R49" s="63">
        <v>45009</v>
      </c>
      <c r="S49" s="44"/>
      <c r="T49" s="44"/>
      <c r="U49" s="44"/>
      <c r="V49" s="79"/>
      <c r="W49" s="63"/>
      <c r="X49" s="66"/>
      <c r="Y49" s="66"/>
      <c r="Z49" s="44"/>
      <c r="AA49" s="44"/>
    </row>
    <row r="50" spans="1:27">
      <c r="A50" s="43">
        <v>37</v>
      </c>
      <c r="B50" s="33" t="s">
        <v>166</v>
      </c>
      <c r="C50" s="44" t="s">
        <v>170</v>
      </c>
      <c r="D50" s="43"/>
      <c r="E50" s="45" t="s">
        <v>97</v>
      </c>
      <c r="F50" s="46">
        <v>15504009502044</v>
      </c>
      <c r="G50" s="47" t="s">
        <v>157</v>
      </c>
      <c r="H50" s="48">
        <v>151280</v>
      </c>
      <c r="I50" s="49"/>
      <c r="J50" s="43" t="s">
        <v>74</v>
      </c>
      <c r="K50" s="71">
        <v>16640.8</v>
      </c>
      <c r="L50" s="71">
        <v>16640.8</v>
      </c>
      <c r="M50" s="71">
        <v>22510.54</v>
      </c>
      <c r="N50" s="48">
        <f t="shared" si="0"/>
        <v>55792.14</v>
      </c>
      <c r="O50" s="50">
        <v>10000</v>
      </c>
      <c r="P50" s="48">
        <f t="shared" si="1"/>
        <v>65792.14</v>
      </c>
      <c r="Q50" s="43" t="s">
        <v>97</v>
      </c>
      <c r="R50" s="51">
        <v>45009</v>
      </c>
      <c r="S50" s="43"/>
      <c r="T50" s="43"/>
      <c r="U50" s="43"/>
      <c r="V50" s="72"/>
      <c r="W50" s="51"/>
      <c r="X50" s="54"/>
      <c r="Y50" s="54"/>
      <c r="Z50" s="43"/>
      <c r="AA50" s="43"/>
    </row>
    <row r="51" spans="1:27" s="67" customFormat="1" ht="25.5">
      <c r="A51" s="44">
        <v>38</v>
      </c>
      <c r="B51" s="56" t="s">
        <v>171</v>
      </c>
      <c r="C51" s="44" t="s">
        <v>172</v>
      </c>
      <c r="D51" s="44">
        <v>20913</v>
      </c>
      <c r="E51" s="45" t="s">
        <v>161</v>
      </c>
      <c r="F51" s="46">
        <v>15504004702420</v>
      </c>
      <c r="G51" s="47" t="s">
        <v>173</v>
      </c>
      <c r="H51" s="60">
        <v>37150</v>
      </c>
      <c r="I51" s="61">
        <v>96</v>
      </c>
      <c r="J51" s="44" t="s">
        <v>37</v>
      </c>
      <c r="K51" s="78">
        <f>8358.75+2229</f>
        <v>10587.75</v>
      </c>
      <c r="L51" s="78">
        <f>5572.5+1486</f>
        <v>7058.5</v>
      </c>
      <c r="M51" s="78">
        <f>10030.5+2191.86</f>
        <v>12222.36</v>
      </c>
      <c r="N51" s="60">
        <f t="shared" si="0"/>
        <v>29868.61</v>
      </c>
      <c r="O51" s="62">
        <v>10000</v>
      </c>
      <c r="P51" s="60">
        <f t="shared" si="1"/>
        <v>39868.61</v>
      </c>
      <c r="Q51" s="44" t="s">
        <v>161</v>
      </c>
      <c r="R51" s="63">
        <v>45008</v>
      </c>
      <c r="S51" s="44"/>
      <c r="T51" s="44"/>
      <c r="U51" s="44"/>
      <c r="V51" s="79"/>
      <c r="W51" s="63">
        <v>45028</v>
      </c>
      <c r="X51" s="66"/>
      <c r="Y51" s="66"/>
      <c r="Z51" s="44" t="s">
        <v>54</v>
      </c>
      <c r="AA51" s="44"/>
    </row>
    <row r="52" spans="1:27">
      <c r="A52" s="44">
        <v>39</v>
      </c>
      <c r="B52" s="33" t="s">
        <v>174</v>
      </c>
      <c r="C52" s="44" t="s">
        <v>175</v>
      </c>
      <c r="D52" s="43">
        <v>6283</v>
      </c>
      <c r="E52" s="45" t="s">
        <v>176</v>
      </c>
      <c r="F52" s="46">
        <v>15504004600420</v>
      </c>
      <c r="G52" s="47" t="s">
        <v>47</v>
      </c>
      <c r="H52" s="48">
        <v>95250</v>
      </c>
      <c r="I52" s="49">
        <v>15875</v>
      </c>
      <c r="J52" s="43" t="s">
        <v>37</v>
      </c>
      <c r="K52" s="48">
        <v>18097.5</v>
      </c>
      <c r="L52" s="48">
        <v>18097.5</v>
      </c>
      <c r="M52" s="48">
        <v>25069.8</v>
      </c>
      <c r="N52" s="48">
        <f t="shared" si="0"/>
        <v>61264.800000000003</v>
      </c>
      <c r="O52" s="50">
        <v>10000</v>
      </c>
      <c r="P52" s="48">
        <f t="shared" si="1"/>
        <v>71264.800000000003</v>
      </c>
      <c r="Q52" s="43" t="s">
        <v>176</v>
      </c>
      <c r="R52" s="51">
        <v>44889</v>
      </c>
      <c r="S52" s="51">
        <v>45014</v>
      </c>
      <c r="T52" s="51"/>
      <c r="U52" s="43"/>
      <c r="V52" s="52"/>
      <c r="W52" s="53">
        <v>45027</v>
      </c>
      <c r="X52" s="54"/>
      <c r="Y52" s="54" t="s">
        <v>54</v>
      </c>
      <c r="Z52" s="51">
        <v>45065</v>
      </c>
      <c r="AA52" s="43"/>
    </row>
    <row r="53" spans="1:27">
      <c r="A53" s="43">
        <v>40</v>
      </c>
      <c r="B53" s="33" t="s">
        <v>174</v>
      </c>
      <c r="C53" s="44" t="s">
        <v>177</v>
      </c>
      <c r="D53" s="43" t="s">
        <v>178</v>
      </c>
      <c r="E53" s="45" t="s">
        <v>179</v>
      </c>
      <c r="F53" s="46">
        <v>15504005500616</v>
      </c>
      <c r="G53" s="47" t="s">
        <v>36</v>
      </c>
      <c r="H53" s="48">
        <v>48270</v>
      </c>
      <c r="I53" s="49">
        <v>47274</v>
      </c>
      <c r="J53" s="43" t="s">
        <v>37</v>
      </c>
      <c r="K53" s="48">
        <v>9171.2999999999993</v>
      </c>
      <c r="L53" s="48">
        <v>9171.2999999999993</v>
      </c>
      <c r="M53" s="48">
        <v>12704.54</v>
      </c>
      <c r="N53" s="48">
        <f t="shared" si="0"/>
        <v>31047.14</v>
      </c>
      <c r="O53" s="50">
        <v>10000</v>
      </c>
      <c r="P53" s="48">
        <f t="shared" si="1"/>
        <v>41047.14</v>
      </c>
      <c r="Q53" s="43" t="s">
        <v>179</v>
      </c>
      <c r="R53" s="51">
        <v>44889</v>
      </c>
      <c r="S53" s="51"/>
      <c r="T53" s="51"/>
      <c r="U53" s="43"/>
      <c r="V53" s="52"/>
      <c r="W53" s="53">
        <v>45048</v>
      </c>
      <c r="X53" s="54"/>
      <c r="Y53" s="54" t="s">
        <v>49</v>
      </c>
      <c r="Z53" s="43"/>
      <c r="AA53" s="43"/>
    </row>
    <row r="54" spans="1:27" s="67" customFormat="1">
      <c r="A54" s="44">
        <v>41</v>
      </c>
      <c r="B54" s="56" t="s">
        <v>174</v>
      </c>
      <c r="C54" s="44" t="s">
        <v>180</v>
      </c>
      <c r="D54" s="44" t="s">
        <v>181</v>
      </c>
      <c r="E54" s="57" t="s">
        <v>182</v>
      </c>
      <c r="F54" s="69">
        <v>15504009200201</v>
      </c>
      <c r="G54" s="59" t="s">
        <v>36</v>
      </c>
      <c r="H54" s="60">
        <v>194850</v>
      </c>
      <c r="I54" s="61">
        <v>389282</v>
      </c>
      <c r="J54" s="44" t="s">
        <v>37</v>
      </c>
      <c r="K54" s="60">
        <v>37021.5</v>
      </c>
      <c r="L54" s="60">
        <v>37021.5</v>
      </c>
      <c r="M54" s="60">
        <v>51284.52</v>
      </c>
      <c r="N54" s="60">
        <f t="shared" si="0"/>
        <v>125327.51999999999</v>
      </c>
      <c r="O54" s="62">
        <v>10000</v>
      </c>
      <c r="P54" s="60">
        <f t="shared" si="1"/>
        <v>135327.51999999999</v>
      </c>
      <c r="Q54" s="44" t="s">
        <v>182</v>
      </c>
      <c r="R54" s="63">
        <v>44889</v>
      </c>
      <c r="S54" s="44"/>
      <c r="T54" s="44"/>
      <c r="U54" s="63"/>
      <c r="V54" s="64"/>
      <c r="W54" s="65">
        <v>45041</v>
      </c>
      <c r="X54" s="66"/>
      <c r="Y54" s="66" t="s">
        <v>183</v>
      </c>
      <c r="Z54" s="44"/>
      <c r="AA54" s="44"/>
    </row>
    <row r="55" spans="1:27" s="67" customFormat="1">
      <c r="A55" s="44">
        <v>42</v>
      </c>
      <c r="B55" s="56" t="s">
        <v>174</v>
      </c>
      <c r="C55" s="44" t="s">
        <v>184</v>
      </c>
      <c r="D55" s="44" t="s">
        <v>185</v>
      </c>
      <c r="E55" s="57" t="s">
        <v>182</v>
      </c>
      <c r="F55" s="69">
        <v>15504009200401</v>
      </c>
      <c r="G55" s="59" t="s">
        <v>36</v>
      </c>
      <c r="H55" s="60">
        <v>88010</v>
      </c>
      <c r="I55" s="61">
        <v>176645</v>
      </c>
      <c r="J55" s="44" t="s">
        <v>37</v>
      </c>
      <c r="K55" s="60">
        <v>16721.900000000001</v>
      </c>
      <c r="L55" s="60">
        <v>16721.900000000001</v>
      </c>
      <c r="M55" s="60">
        <v>23164.16</v>
      </c>
      <c r="N55" s="60">
        <f t="shared" si="0"/>
        <v>56607.960000000006</v>
      </c>
      <c r="O55" s="62">
        <v>10000</v>
      </c>
      <c r="P55" s="60">
        <f t="shared" si="1"/>
        <v>66607.960000000006</v>
      </c>
      <c r="Q55" s="44" t="s">
        <v>182</v>
      </c>
      <c r="R55" s="63">
        <v>44889</v>
      </c>
      <c r="S55" s="44"/>
      <c r="T55" s="44"/>
      <c r="U55" s="63"/>
      <c r="V55" s="64"/>
      <c r="W55" s="65">
        <v>45041</v>
      </c>
      <c r="X55" s="66"/>
      <c r="Y55" s="66" t="s">
        <v>183</v>
      </c>
      <c r="Z55" s="44"/>
      <c r="AA55" s="44"/>
    </row>
    <row r="56" spans="1:27" s="67" customFormat="1">
      <c r="A56" s="43">
        <v>43</v>
      </c>
      <c r="B56" s="56" t="s">
        <v>174</v>
      </c>
      <c r="C56" s="44" t="s">
        <v>186</v>
      </c>
      <c r="D56" s="44">
        <v>9409</v>
      </c>
      <c r="E56" s="57" t="s">
        <v>182</v>
      </c>
      <c r="F56" s="69">
        <v>15504009200504</v>
      </c>
      <c r="G56" s="59" t="s">
        <v>36</v>
      </c>
      <c r="H56" s="60">
        <v>112940</v>
      </c>
      <c r="I56" s="61">
        <v>230912</v>
      </c>
      <c r="J56" s="44" t="s">
        <v>37</v>
      </c>
      <c r="K56" s="60">
        <v>21458.6</v>
      </c>
      <c r="L56" s="60">
        <v>21458.6</v>
      </c>
      <c r="M56" s="60">
        <v>29725.88</v>
      </c>
      <c r="N56" s="60">
        <f t="shared" si="0"/>
        <v>72643.08</v>
      </c>
      <c r="O56" s="62">
        <v>10000</v>
      </c>
      <c r="P56" s="60">
        <f t="shared" si="1"/>
        <v>82643.08</v>
      </c>
      <c r="Q56" s="44" t="s">
        <v>182</v>
      </c>
      <c r="R56" s="63">
        <v>44889</v>
      </c>
      <c r="S56" s="44"/>
      <c r="T56" s="44"/>
      <c r="U56" s="63"/>
      <c r="V56" s="64"/>
      <c r="W56" s="65">
        <v>45041</v>
      </c>
      <c r="X56" s="66"/>
      <c r="Y56" s="66" t="s">
        <v>187</v>
      </c>
      <c r="Z56" s="63">
        <v>45065</v>
      </c>
      <c r="AA56" s="44"/>
    </row>
    <row r="57" spans="1:27" s="67" customFormat="1">
      <c r="A57" s="44">
        <v>44</v>
      </c>
      <c r="B57" s="56" t="s">
        <v>174</v>
      </c>
      <c r="C57" s="44" t="s">
        <v>188</v>
      </c>
      <c r="D57" s="76" t="s">
        <v>189</v>
      </c>
      <c r="E57" s="57" t="s">
        <v>182</v>
      </c>
      <c r="F57" s="69">
        <v>15504009200601</v>
      </c>
      <c r="G57" s="59" t="s">
        <v>36</v>
      </c>
      <c r="H57" s="60">
        <v>68910</v>
      </c>
      <c r="I57" s="61">
        <v>130917</v>
      </c>
      <c r="J57" s="44" t="s">
        <v>37</v>
      </c>
      <c r="K57" s="60">
        <v>13092.9</v>
      </c>
      <c r="L57" s="60">
        <v>13092.9</v>
      </c>
      <c r="M57" s="60">
        <v>18137.04</v>
      </c>
      <c r="N57" s="60">
        <f t="shared" si="0"/>
        <v>44322.84</v>
      </c>
      <c r="O57" s="62">
        <v>10000</v>
      </c>
      <c r="P57" s="60">
        <f t="shared" si="1"/>
        <v>54322.84</v>
      </c>
      <c r="Q57" s="44" t="s">
        <v>182</v>
      </c>
      <c r="R57" s="63">
        <v>44889</v>
      </c>
      <c r="S57" s="44"/>
      <c r="T57" s="44"/>
      <c r="U57" s="63"/>
      <c r="V57" s="64"/>
      <c r="W57" s="65">
        <v>45041</v>
      </c>
      <c r="X57" s="66"/>
      <c r="Y57" s="66" t="s">
        <v>183</v>
      </c>
      <c r="Z57" s="63">
        <v>45065</v>
      </c>
      <c r="AA57" s="44"/>
    </row>
    <row r="58" spans="1:27">
      <c r="A58" s="44">
        <v>45</v>
      </c>
      <c r="B58" s="33" t="s">
        <v>190</v>
      </c>
      <c r="C58" s="44" t="s">
        <v>191</v>
      </c>
      <c r="D58" s="43" t="s">
        <v>192</v>
      </c>
      <c r="E58" s="45" t="s">
        <v>82</v>
      </c>
      <c r="F58" s="46">
        <v>15504004501019</v>
      </c>
      <c r="G58" s="47" t="s">
        <v>119</v>
      </c>
      <c r="H58" s="48">
        <v>25090</v>
      </c>
      <c r="I58" s="49">
        <v>1568</v>
      </c>
      <c r="J58" s="43" t="s">
        <v>74</v>
      </c>
      <c r="K58" s="48">
        <v>2759.9</v>
      </c>
      <c r="L58" s="48">
        <v>2759.9</v>
      </c>
      <c r="M58" s="48">
        <v>3713.36</v>
      </c>
      <c r="N58" s="48">
        <f t="shared" si="0"/>
        <v>9233.16</v>
      </c>
      <c r="O58" s="50">
        <v>10000</v>
      </c>
      <c r="P58" s="48">
        <f t="shared" si="1"/>
        <v>19233.16</v>
      </c>
      <c r="Q58" s="43" t="s">
        <v>82</v>
      </c>
      <c r="R58" s="51">
        <v>44873</v>
      </c>
      <c r="S58" s="51">
        <v>45005</v>
      </c>
      <c r="T58" s="51"/>
      <c r="U58" s="43"/>
      <c r="V58" s="52"/>
      <c r="W58" s="53">
        <v>45016</v>
      </c>
      <c r="X58" s="54"/>
      <c r="Y58" s="54"/>
      <c r="Z58" s="43" t="s">
        <v>54</v>
      </c>
      <c r="AA58" s="43"/>
    </row>
    <row r="59" spans="1:27">
      <c r="A59" s="43">
        <v>46</v>
      </c>
      <c r="B59" s="33" t="s">
        <v>193</v>
      </c>
      <c r="C59" s="44" t="s">
        <v>194</v>
      </c>
      <c r="D59" s="43" t="s">
        <v>195</v>
      </c>
      <c r="E59" s="45" t="s">
        <v>79</v>
      </c>
      <c r="F59" s="46">
        <v>15504004902220</v>
      </c>
      <c r="G59" s="47" t="s">
        <v>109</v>
      </c>
      <c r="H59" s="48">
        <v>5460</v>
      </c>
      <c r="I59" s="49">
        <v>195</v>
      </c>
      <c r="J59" s="43" t="s">
        <v>74</v>
      </c>
      <c r="K59" s="48">
        <v>600.6</v>
      </c>
      <c r="L59" s="48">
        <v>600.6</v>
      </c>
      <c r="M59" s="48">
        <v>808.04</v>
      </c>
      <c r="N59" s="48">
        <f t="shared" si="0"/>
        <v>2009.24</v>
      </c>
      <c r="O59" s="50">
        <v>10000</v>
      </c>
      <c r="P59" s="48">
        <f t="shared" si="1"/>
        <v>12009.24</v>
      </c>
      <c r="Q59" s="43" t="s">
        <v>79</v>
      </c>
      <c r="R59" s="51">
        <v>44985</v>
      </c>
      <c r="S59" s="51">
        <v>45006</v>
      </c>
      <c r="T59" s="43"/>
      <c r="U59" s="43"/>
      <c r="V59" s="52"/>
      <c r="W59" s="53">
        <v>45028</v>
      </c>
      <c r="X59" s="54"/>
      <c r="Y59" s="54"/>
      <c r="Z59" s="43" t="s">
        <v>54</v>
      </c>
      <c r="AA59" s="43"/>
    </row>
    <row r="60" spans="1:27">
      <c r="A60" s="44">
        <v>47</v>
      </c>
      <c r="B60" s="33" t="s">
        <v>196</v>
      </c>
      <c r="C60" s="44" t="s">
        <v>197</v>
      </c>
      <c r="D60" s="43" t="s">
        <v>198</v>
      </c>
      <c r="E60" s="45" t="s">
        <v>79</v>
      </c>
      <c r="F60" s="46">
        <v>15504004901424</v>
      </c>
      <c r="G60" s="47" t="s">
        <v>47</v>
      </c>
      <c r="H60" s="48">
        <v>9600</v>
      </c>
      <c r="I60" s="49">
        <v>343</v>
      </c>
      <c r="J60" s="43" t="s">
        <v>199</v>
      </c>
      <c r="K60" s="48">
        <v>480</v>
      </c>
      <c r="L60" s="48">
        <v>480</v>
      </c>
      <c r="M60" s="48">
        <v>576</v>
      </c>
      <c r="N60" s="48">
        <f t="shared" si="0"/>
        <v>1536</v>
      </c>
      <c r="O60" s="50">
        <v>10000</v>
      </c>
      <c r="P60" s="48">
        <f t="shared" si="1"/>
        <v>11536</v>
      </c>
      <c r="Q60" s="43" t="s">
        <v>79</v>
      </c>
      <c r="R60" s="51">
        <v>44985</v>
      </c>
      <c r="S60" s="51">
        <v>45006</v>
      </c>
      <c r="T60" s="43"/>
      <c r="U60" s="43"/>
      <c r="V60" s="52"/>
      <c r="W60" s="53">
        <v>45029</v>
      </c>
      <c r="X60" s="54"/>
      <c r="Y60" s="54"/>
      <c r="Z60" s="43" t="s">
        <v>54</v>
      </c>
      <c r="AA60" s="43"/>
    </row>
    <row r="61" spans="1:27">
      <c r="A61" s="44">
        <v>48</v>
      </c>
      <c r="B61" s="33" t="s">
        <v>200</v>
      </c>
      <c r="C61" s="44" t="s">
        <v>201</v>
      </c>
      <c r="D61" s="43">
        <v>29868</v>
      </c>
      <c r="E61" s="45" t="s">
        <v>202</v>
      </c>
      <c r="F61" s="46">
        <v>15504007203237</v>
      </c>
      <c r="G61" s="47" t="s">
        <v>91</v>
      </c>
      <c r="H61" s="48">
        <v>37800</v>
      </c>
      <c r="I61" s="49">
        <v>900</v>
      </c>
      <c r="J61" s="43" t="s">
        <v>37</v>
      </c>
      <c r="K61" s="48">
        <v>7182</v>
      </c>
      <c r="L61" s="48">
        <v>7182</v>
      </c>
      <c r="M61" s="48">
        <v>9948.9599999999991</v>
      </c>
      <c r="N61" s="48">
        <f t="shared" si="0"/>
        <v>24312.959999999999</v>
      </c>
      <c r="O61" s="50">
        <v>10000</v>
      </c>
      <c r="P61" s="48">
        <f t="shared" si="1"/>
        <v>34312.959999999999</v>
      </c>
      <c r="Q61" s="43" t="s">
        <v>202</v>
      </c>
      <c r="R61" s="51">
        <v>44875</v>
      </c>
      <c r="S61" s="51">
        <v>45006</v>
      </c>
      <c r="T61" s="51"/>
      <c r="U61" s="43"/>
      <c r="V61" s="52"/>
      <c r="W61" s="53"/>
      <c r="X61" s="54"/>
      <c r="Y61" s="54"/>
      <c r="Z61" s="43"/>
      <c r="AA61" s="43"/>
    </row>
    <row r="62" spans="1:27">
      <c r="A62" s="43">
        <v>49</v>
      </c>
      <c r="B62" s="33" t="s">
        <v>203</v>
      </c>
      <c r="C62" s="44" t="s">
        <v>204</v>
      </c>
      <c r="D62" s="32" t="s">
        <v>205</v>
      </c>
      <c r="E62" s="45" t="s">
        <v>206</v>
      </c>
      <c r="F62" s="46">
        <v>15504002200317</v>
      </c>
      <c r="G62" s="47" t="s">
        <v>207</v>
      </c>
      <c r="H62" s="48">
        <v>13420</v>
      </c>
      <c r="I62" s="49">
        <v>78</v>
      </c>
      <c r="J62" s="43" t="s">
        <v>37</v>
      </c>
      <c r="K62" s="48">
        <v>2549.8000000000002</v>
      </c>
      <c r="L62" s="48">
        <v>2549.8000000000002</v>
      </c>
      <c r="M62" s="48">
        <v>3532.02</v>
      </c>
      <c r="N62" s="48">
        <f t="shared" si="0"/>
        <v>8631.6200000000008</v>
      </c>
      <c r="O62" s="50">
        <v>10000</v>
      </c>
      <c r="P62" s="48">
        <f t="shared" si="1"/>
        <v>18631.620000000003</v>
      </c>
      <c r="Q62" s="43" t="s">
        <v>206</v>
      </c>
      <c r="R62" s="51">
        <v>44875</v>
      </c>
      <c r="S62" s="51">
        <v>45007</v>
      </c>
      <c r="T62" s="51"/>
      <c r="U62" s="43"/>
      <c r="V62" s="52"/>
      <c r="W62" s="53">
        <v>45042</v>
      </c>
      <c r="X62" s="54"/>
      <c r="Y62" s="54" t="s">
        <v>49</v>
      </c>
      <c r="Z62" s="51">
        <v>45063</v>
      </c>
      <c r="AA62" s="43"/>
    </row>
    <row r="63" spans="1:27">
      <c r="A63" s="44">
        <v>50</v>
      </c>
      <c r="B63" s="33" t="s">
        <v>208</v>
      </c>
      <c r="C63" s="44" t="s">
        <v>209</v>
      </c>
      <c r="D63" s="43" t="s">
        <v>210</v>
      </c>
      <c r="E63" s="81" t="s">
        <v>211</v>
      </c>
      <c r="F63" s="46">
        <v>15504008300808</v>
      </c>
      <c r="G63" s="47" t="s">
        <v>36</v>
      </c>
      <c r="H63" s="48">
        <v>41580</v>
      </c>
      <c r="I63" s="49">
        <v>78017</v>
      </c>
      <c r="J63" s="43" t="s">
        <v>37</v>
      </c>
      <c r="K63" s="48">
        <v>7900.2</v>
      </c>
      <c r="L63" s="48">
        <v>7900.2</v>
      </c>
      <c r="M63" s="48">
        <v>10943.98</v>
      </c>
      <c r="N63" s="48">
        <f t="shared" si="0"/>
        <v>26744.379999999997</v>
      </c>
      <c r="O63" s="50">
        <v>10000</v>
      </c>
      <c r="P63" s="48">
        <f t="shared" si="1"/>
        <v>36744.379999999997</v>
      </c>
      <c r="Q63" s="43" t="s">
        <v>211</v>
      </c>
      <c r="R63" s="51">
        <v>45262</v>
      </c>
      <c r="S63" s="51">
        <v>45015</v>
      </c>
      <c r="T63" s="51"/>
      <c r="U63" s="43"/>
      <c r="V63" s="52"/>
      <c r="W63" s="53"/>
      <c r="X63" s="54"/>
      <c r="Y63" s="54" t="s">
        <v>54</v>
      </c>
      <c r="Z63" s="51">
        <v>45068</v>
      </c>
      <c r="AA63" s="43"/>
    </row>
    <row r="64" spans="1:27" ht="25.5">
      <c r="A64" s="44">
        <v>51</v>
      </c>
      <c r="B64" s="33" t="s">
        <v>212</v>
      </c>
      <c r="C64" s="44" t="s">
        <v>213</v>
      </c>
      <c r="D64" s="43" t="s">
        <v>214</v>
      </c>
      <c r="E64" s="45" t="s">
        <v>215</v>
      </c>
      <c r="F64" s="46">
        <v>15504010101428</v>
      </c>
      <c r="G64" s="47" t="s">
        <v>47</v>
      </c>
      <c r="H64" s="48">
        <v>7420</v>
      </c>
      <c r="I64" s="49">
        <v>103</v>
      </c>
      <c r="J64" s="43" t="s">
        <v>199</v>
      </c>
      <c r="K64" s="48">
        <v>371</v>
      </c>
      <c r="L64" s="48">
        <v>371</v>
      </c>
      <c r="M64" s="48">
        <v>462.98</v>
      </c>
      <c r="N64" s="48">
        <f t="shared" si="0"/>
        <v>1204.98</v>
      </c>
      <c r="O64" s="50">
        <v>10000</v>
      </c>
      <c r="P64" s="48">
        <f t="shared" si="1"/>
        <v>11204.98</v>
      </c>
      <c r="Q64" s="43" t="s">
        <v>215</v>
      </c>
      <c r="R64" s="51">
        <v>44977</v>
      </c>
      <c r="S64" s="51">
        <v>45008</v>
      </c>
      <c r="T64" s="43"/>
      <c r="U64" s="43"/>
      <c r="V64" s="52"/>
      <c r="W64" s="53">
        <v>45029</v>
      </c>
      <c r="X64" s="54"/>
      <c r="Y64" s="54"/>
      <c r="Z64" s="43" t="s">
        <v>54</v>
      </c>
      <c r="AA64" s="43"/>
    </row>
    <row r="65" spans="1:27" ht="25.5">
      <c r="A65" s="43">
        <v>52</v>
      </c>
      <c r="B65" s="33" t="s">
        <v>216</v>
      </c>
      <c r="C65" s="44" t="s">
        <v>217</v>
      </c>
      <c r="D65" s="82" t="s">
        <v>218</v>
      </c>
      <c r="E65" s="45" t="s">
        <v>97</v>
      </c>
      <c r="F65" s="46">
        <v>15504009500606</v>
      </c>
      <c r="G65" s="47" t="s">
        <v>219</v>
      </c>
      <c r="H65" s="48">
        <v>828000</v>
      </c>
      <c r="I65" s="49">
        <v>9200</v>
      </c>
      <c r="J65" s="43" t="s">
        <v>37</v>
      </c>
      <c r="K65" s="71">
        <v>157320</v>
      </c>
      <c r="L65" s="71">
        <v>157320</v>
      </c>
      <c r="M65" s="71">
        <v>218592</v>
      </c>
      <c r="N65" s="48">
        <f t="shared" si="0"/>
        <v>533232</v>
      </c>
      <c r="O65" s="50">
        <v>10000</v>
      </c>
      <c r="P65" s="48">
        <f t="shared" si="1"/>
        <v>543232</v>
      </c>
      <c r="Q65" s="43" t="s">
        <v>97</v>
      </c>
      <c r="R65" s="51">
        <v>45014</v>
      </c>
      <c r="S65" s="43"/>
      <c r="T65" s="43"/>
      <c r="U65" s="43"/>
      <c r="V65" s="72"/>
      <c r="W65" s="51">
        <v>45042</v>
      </c>
      <c r="X65" s="54"/>
      <c r="Y65" s="54" t="s">
        <v>54</v>
      </c>
      <c r="Z65" s="51">
        <v>45064</v>
      </c>
      <c r="AA65" s="43"/>
    </row>
    <row r="66" spans="1:27">
      <c r="A66" s="44">
        <v>53</v>
      </c>
      <c r="B66" s="33" t="s">
        <v>220</v>
      </c>
      <c r="C66" s="44" t="s">
        <v>221</v>
      </c>
      <c r="D66" s="43">
        <v>7730</v>
      </c>
      <c r="E66" s="81" t="s">
        <v>222</v>
      </c>
      <c r="F66" s="46">
        <v>15504004801402</v>
      </c>
      <c r="G66" s="47" t="s">
        <v>36</v>
      </c>
      <c r="H66" s="48">
        <v>7080</v>
      </c>
      <c r="I66" s="49">
        <v>8992</v>
      </c>
      <c r="J66" s="43" t="s">
        <v>37</v>
      </c>
      <c r="K66" s="48">
        <f>1062+283.2</f>
        <v>1345.2</v>
      </c>
      <c r="L66" s="48">
        <v>1345.2</v>
      </c>
      <c r="M66" s="48">
        <f>1529.4+334.19</f>
        <v>1863.5900000000001</v>
      </c>
      <c r="N66" s="48">
        <f t="shared" si="0"/>
        <v>4553.99</v>
      </c>
      <c r="O66" s="50">
        <v>10000</v>
      </c>
      <c r="P66" s="48">
        <f t="shared" si="1"/>
        <v>14553.99</v>
      </c>
      <c r="Q66" s="43" t="s">
        <v>222</v>
      </c>
      <c r="R66" s="51">
        <v>44987</v>
      </c>
      <c r="S66" s="51">
        <v>45006</v>
      </c>
      <c r="T66" s="43"/>
      <c r="U66" s="43"/>
      <c r="V66" s="52"/>
      <c r="W66" s="53">
        <v>45029</v>
      </c>
      <c r="X66" s="54"/>
      <c r="Y66" s="54"/>
      <c r="Z66" s="43" t="s">
        <v>54</v>
      </c>
      <c r="AA66" s="43"/>
    </row>
    <row r="67" spans="1:27">
      <c r="A67" s="44">
        <v>54</v>
      </c>
      <c r="B67" s="33" t="s">
        <v>223</v>
      </c>
      <c r="C67" s="44" t="s">
        <v>224</v>
      </c>
      <c r="D67" s="43">
        <v>10611</v>
      </c>
      <c r="E67" s="81" t="s">
        <v>222</v>
      </c>
      <c r="F67" s="46">
        <v>15504004800801</v>
      </c>
      <c r="G67" s="47" t="s">
        <v>36</v>
      </c>
      <c r="H67" s="48">
        <v>24510</v>
      </c>
      <c r="I67" s="49">
        <v>31082</v>
      </c>
      <c r="J67" s="43" t="s">
        <v>37</v>
      </c>
      <c r="K67" s="48">
        <f>3676.5+980.4</f>
        <v>4656.8999999999996</v>
      </c>
      <c r="L67" s="48">
        <v>4656.8999999999996</v>
      </c>
      <c r="M67" s="48">
        <f>5294.1+1156.86</f>
        <v>6450.96</v>
      </c>
      <c r="N67" s="48">
        <f t="shared" si="0"/>
        <v>15764.759999999998</v>
      </c>
      <c r="O67" s="50">
        <v>10000</v>
      </c>
      <c r="P67" s="48">
        <f t="shared" si="1"/>
        <v>25764.76</v>
      </c>
      <c r="Q67" s="43" t="s">
        <v>222</v>
      </c>
      <c r="R67" s="51">
        <v>44987</v>
      </c>
      <c r="S67" s="51">
        <v>45006</v>
      </c>
      <c r="T67" s="43"/>
      <c r="U67" s="43"/>
      <c r="V67" s="52"/>
      <c r="W67" s="53">
        <v>45029</v>
      </c>
      <c r="X67" s="54"/>
      <c r="Y67" s="54"/>
      <c r="Z67" s="43" t="s">
        <v>54</v>
      </c>
      <c r="AA67" s="43"/>
    </row>
    <row r="68" spans="1:27">
      <c r="A68" s="43">
        <v>55</v>
      </c>
      <c r="B68" s="33" t="s">
        <v>223</v>
      </c>
      <c r="C68" s="44" t="s">
        <v>225</v>
      </c>
      <c r="D68" s="43">
        <v>7297</v>
      </c>
      <c r="E68" s="81" t="s">
        <v>222</v>
      </c>
      <c r="F68" s="46">
        <v>15504004801010</v>
      </c>
      <c r="G68" s="47" t="s">
        <v>36</v>
      </c>
      <c r="H68" s="48">
        <v>9330</v>
      </c>
      <c r="I68" s="49">
        <v>12202</v>
      </c>
      <c r="J68" s="43" t="s">
        <v>37</v>
      </c>
      <c r="K68" s="48">
        <f>1399.5+373.2</f>
        <v>1772.7</v>
      </c>
      <c r="L68" s="48">
        <f>1399.5+373.2</f>
        <v>1772.7</v>
      </c>
      <c r="M68" s="48">
        <f>2015.4+440.38</f>
        <v>2455.7800000000002</v>
      </c>
      <c r="N68" s="48">
        <f t="shared" si="0"/>
        <v>6001.18</v>
      </c>
      <c r="O68" s="50">
        <v>10000</v>
      </c>
      <c r="P68" s="48">
        <f t="shared" si="1"/>
        <v>16001.18</v>
      </c>
      <c r="Q68" s="43" t="s">
        <v>222</v>
      </c>
      <c r="R68" s="51">
        <v>44987</v>
      </c>
      <c r="S68" s="51">
        <v>45006</v>
      </c>
      <c r="T68" s="43"/>
      <c r="U68" s="43"/>
      <c r="V68" s="52"/>
      <c r="W68" s="53">
        <v>45029</v>
      </c>
      <c r="X68" s="54"/>
      <c r="Y68" s="54"/>
      <c r="Z68" s="43" t="s">
        <v>54</v>
      </c>
      <c r="AA68" s="43"/>
    </row>
    <row r="69" spans="1:27">
      <c r="A69" s="44">
        <v>56</v>
      </c>
      <c r="B69" s="33" t="s">
        <v>223</v>
      </c>
      <c r="C69" s="44" t="s">
        <v>226</v>
      </c>
      <c r="D69" s="43">
        <v>10612</v>
      </c>
      <c r="E69" s="81" t="s">
        <v>222</v>
      </c>
      <c r="F69" s="46">
        <v>15504004800804</v>
      </c>
      <c r="G69" s="47" t="s">
        <v>36</v>
      </c>
      <c r="H69" s="48">
        <v>52730</v>
      </c>
      <c r="I69" s="49">
        <v>62965</v>
      </c>
      <c r="J69" s="43" t="s">
        <v>37</v>
      </c>
      <c r="K69" s="48">
        <f>7909.5+2109.2</f>
        <v>10018.700000000001</v>
      </c>
      <c r="L69" s="48">
        <v>10018.700000000001</v>
      </c>
      <c r="M69" s="48">
        <f>11389.8+2488.86</f>
        <v>13878.66</v>
      </c>
      <c r="N69" s="48">
        <f t="shared" si="0"/>
        <v>33916.06</v>
      </c>
      <c r="O69" s="50">
        <v>10000</v>
      </c>
      <c r="P69" s="48">
        <f t="shared" si="1"/>
        <v>43916.06</v>
      </c>
      <c r="Q69" s="43" t="s">
        <v>222</v>
      </c>
      <c r="R69" s="51">
        <v>44987</v>
      </c>
      <c r="S69" s="51">
        <v>45006</v>
      </c>
      <c r="T69" s="43"/>
      <c r="U69" s="43"/>
      <c r="V69" s="52"/>
      <c r="W69" s="53">
        <v>45029</v>
      </c>
      <c r="X69" s="54"/>
      <c r="Y69" s="54"/>
      <c r="Z69" s="43" t="s">
        <v>54</v>
      </c>
      <c r="AA69" s="43"/>
    </row>
    <row r="70" spans="1:27">
      <c r="A70" s="44">
        <v>57</v>
      </c>
      <c r="B70" s="33" t="s">
        <v>227</v>
      </c>
      <c r="C70" s="44" t="s">
        <v>228</v>
      </c>
      <c r="D70" s="43">
        <v>9038</v>
      </c>
      <c r="E70" s="81" t="s">
        <v>222</v>
      </c>
      <c r="F70" s="46">
        <v>15504004801204</v>
      </c>
      <c r="G70" s="47" t="s">
        <v>36</v>
      </c>
      <c r="H70" s="48">
        <v>290</v>
      </c>
      <c r="I70" s="49">
        <v>365</v>
      </c>
      <c r="J70" s="43" t="s">
        <v>37</v>
      </c>
      <c r="K70" s="48">
        <f>43.5+11.6</f>
        <v>55.1</v>
      </c>
      <c r="L70" s="48">
        <v>55.1</v>
      </c>
      <c r="M70" s="48">
        <f>62.7+13.7</f>
        <v>76.400000000000006</v>
      </c>
      <c r="N70" s="48">
        <f t="shared" si="0"/>
        <v>186.60000000000002</v>
      </c>
      <c r="O70" s="50">
        <v>10000</v>
      </c>
      <c r="P70" s="48">
        <f t="shared" si="1"/>
        <v>10186.6</v>
      </c>
      <c r="Q70" s="43" t="s">
        <v>222</v>
      </c>
      <c r="R70" s="51">
        <v>44987</v>
      </c>
      <c r="S70" s="51">
        <v>45006</v>
      </c>
      <c r="T70" s="43"/>
      <c r="U70" s="43"/>
      <c r="V70" s="52"/>
      <c r="W70" s="53">
        <v>45029</v>
      </c>
      <c r="X70" s="54"/>
      <c r="Y70" s="54"/>
      <c r="Z70" s="43" t="s">
        <v>54</v>
      </c>
      <c r="AA70" s="43"/>
    </row>
    <row r="71" spans="1:27">
      <c r="A71" s="43">
        <v>58</v>
      </c>
      <c r="B71" s="33" t="s">
        <v>229</v>
      </c>
      <c r="C71" s="44" t="s">
        <v>230</v>
      </c>
      <c r="D71" s="43">
        <v>25374</v>
      </c>
      <c r="E71" s="81" t="s">
        <v>222</v>
      </c>
      <c r="F71" s="46">
        <v>15504004801202</v>
      </c>
      <c r="G71" s="47" t="s">
        <v>36</v>
      </c>
      <c r="H71" s="48">
        <v>4630</v>
      </c>
      <c r="I71" s="49">
        <v>5183</v>
      </c>
      <c r="J71" s="43" t="s">
        <v>37</v>
      </c>
      <c r="K71" s="48">
        <f>694.5+185.2</f>
        <v>879.7</v>
      </c>
      <c r="L71" s="48">
        <v>879.7</v>
      </c>
      <c r="M71" s="48">
        <f>1000.2+218.57</f>
        <v>1218.77</v>
      </c>
      <c r="N71" s="48">
        <f t="shared" si="0"/>
        <v>2978.17</v>
      </c>
      <c r="O71" s="50">
        <v>10000</v>
      </c>
      <c r="P71" s="48">
        <f t="shared" si="1"/>
        <v>12978.17</v>
      </c>
      <c r="Q71" s="43" t="s">
        <v>222</v>
      </c>
      <c r="R71" s="51">
        <v>44987</v>
      </c>
      <c r="S71" s="51">
        <v>45006</v>
      </c>
      <c r="T71" s="43"/>
      <c r="U71" s="43"/>
      <c r="V71" s="52"/>
      <c r="W71" s="53">
        <v>45029</v>
      </c>
      <c r="X71" s="54"/>
      <c r="Y71" s="54"/>
      <c r="Z71" s="43" t="s">
        <v>54</v>
      </c>
      <c r="AA71" s="43"/>
    </row>
    <row r="72" spans="1:27">
      <c r="A72" s="44">
        <v>59</v>
      </c>
      <c r="B72" s="33" t="s">
        <v>231</v>
      </c>
      <c r="C72" s="44" t="s">
        <v>232</v>
      </c>
      <c r="D72" s="43" t="s">
        <v>233</v>
      </c>
      <c r="E72" s="45" t="s">
        <v>234</v>
      </c>
      <c r="F72" s="46">
        <v>15504007800711</v>
      </c>
      <c r="G72" s="47" t="s">
        <v>36</v>
      </c>
      <c r="H72" s="48">
        <v>26390</v>
      </c>
      <c r="I72" s="49">
        <v>69041</v>
      </c>
      <c r="J72" s="43" t="s">
        <v>37</v>
      </c>
      <c r="K72" s="48">
        <v>5014.1000000000004</v>
      </c>
      <c r="L72" s="48">
        <v>5014.1000000000004</v>
      </c>
      <c r="M72" s="48">
        <v>6945.92</v>
      </c>
      <c r="N72" s="48">
        <f t="shared" si="0"/>
        <v>16974.120000000003</v>
      </c>
      <c r="O72" s="50">
        <v>10000</v>
      </c>
      <c r="P72" s="48">
        <f t="shared" si="1"/>
        <v>26974.120000000003</v>
      </c>
      <c r="Q72" s="43" t="s">
        <v>234</v>
      </c>
      <c r="R72" s="51">
        <v>44901</v>
      </c>
      <c r="S72" s="51">
        <v>45007</v>
      </c>
      <c r="T72" s="51"/>
      <c r="U72" s="43"/>
      <c r="V72" s="52"/>
      <c r="W72" s="53">
        <v>45041</v>
      </c>
      <c r="X72" s="54"/>
      <c r="Y72" s="54" t="s">
        <v>54</v>
      </c>
      <c r="Z72" s="43"/>
      <c r="AA72" s="43"/>
    </row>
    <row r="73" spans="1:27">
      <c r="A73" s="44">
        <v>60</v>
      </c>
      <c r="B73" s="33" t="s">
        <v>235</v>
      </c>
      <c r="C73" s="44" t="s">
        <v>236</v>
      </c>
      <c r="D73" s="43">
        <v>29542</v>
      </c>
      <c r="E73" s="45" t="s">
        <v>46</v>
      </c>
      <c r="F73" s="46">
        <v>15504007602222</v>
      </c>
      <c r="G73" s="47" t="s">
        <v>47</v>
      </c>
      <c r="H73" s="48">
        <v>21600</v>
      </c>
      <c r="I73" s="49">
        <v>300</v>
      </c>
      <c r="J73" s="43" t="s">
        <v>63</v>
      </c>
      <c r="K73" s="48">
        <v>1728</v>
      </c>
      <c r="L73" s="48">
        <v>1728</v>
      </c>
      <c r="M73" s="48">
        <v>2263.6799999999998</v>
      </c>
      <c r="N73" s="48">
        <f t="shared" si="0"/>
        <v>5719.68</v>
      </c>
      <c r="O73" s="50">
        <v>10000</v>
      </c>
      <c r="P73" s="48">
        <f t="shared" si="1"/>
        <v>15719.68</v>
      </c>
      <c r="Q73" s="43" t="s">
        <v>46</v>
      </c>
      <c r="R73" s="51">
        <v>44965</v>
      </c>
      <c r="S73" s="51">
        <v>45007</v>
      </c>
      <c r="T73" s="43"/>
      <c r="U73" s="43"/>
      <c r="V73" s="52"/>
      <c r="W73" s="53">
        <v>45043</v>
      </c>
      <c r="X73" s="54"/>
      <c r="Y73" s="54" t="s">
        <v>49</v>
      </c>
      <c r="Z73" s="43"/>
      <c r="AA73" s="43"/>
    </row>
    <row r="74" spans="1:27">
      <c r="A74" s="43">
        <v>61</v>
      </c>
      <c r="B74" s="33" t="s">
        <v>235</v>
      </c>
      <c r="C74" s="44" t="s">
        <v>237</v>
      </c>
      <c r="D74" s="43"/>
      <c r="E74" s="45" t="s">
        <v>46</v>
      </c>
      <c r="F74" s="46">
        <v>15504007602217</v>
      </c>
      <c r="G74" s="47" t="s">
        <v>157</v>
      </c>
      <c r="H74" s="48">
        <v>22700</v>
      </c>
      <c r="I74" s="49"/>
      <c r="J74" s="43" t="s">
        <v>58</v>
      </c>
      <c r="K74" s="48">
        <v>3405</v>
      </c>
      <c r="L74" s="48">
        <v>3405</v>
      </c>
      <c r="M74" s="48">
        <v>4667.12</v>
      </c>
      <c r="N74" s="48">
        <f t="shared" si="0"/>
        <v>11477.119999999999</v>
      </c>
      <c r="O74" s="50">
        <v>10000</v>
      </c>
      <c r="P74" s="48">
        <f t="shared" si="1"/>
        <v>21477.119999999999</v>
      </c>
      <c r="Q74" s="43" t="s">
        <v>46</v>
      </c>
      <c r="R74" s="51">
        <v>44965</v>
      </c>
      <c r="S74" s="51">
        <v>45007</v>
      </c>
      <c r="T74" s="43"/>
      <c r="U74" s="43"/>
      <c r="V74" s="52"/>
      <c r="W74" s="53">
        <v>45043</v>
      </c>
      <c r="X74" s="54"/>
      <c r="Y74" s="54" t="s">
        <v>49</v>
      </c>
      <c r="Z74" s="43"/>
      <c r="AA74" s="43"/>
    </row>
    <row r="75" spans="1:27" s="90" customFormat="1" ht="12.75" customHeight="1">
      <c r="A75" s="44">
        <v>62</v>
      </c>
      <c r="B75" s="45" t="s">
        <v>238</v>
      </c>
      <c r="C75" s="44" t="s">
        <v>239</v>
      </c>
      <c r="D75" s="71"/>
      <c r="E75" s="83" t="s">
        <v>240</v>
      </c>
      <c r="F75" s="43" t="s">
        <v>241</v>
      </c>
      <c r="G75" s="61" t="s">
        <v>47</v>
      </c>
      <c r="H75" s="68">
        <v>6480</v>
      </c>
      <c r="I75" s="84">
        <v>72</v>
      </c>
      <c r="J75" s="84" t="s">
        <v>37</v>
      </c>
      <c r="K75" s="64">
        <f>972+259.2</f>
        <v>1231.2</v>
      </c>
      <c r="L75" s="68">
        <v>1231.2</v>
      </c>
      <c r="M75" s="48">
        <f>699.9+699.9+152.93+152.93</f>
        <v>1705.66</v>
      </c>
      <c r="N75" s="85">
        <v>45009</v>
      </c>
      <c r="O75" s="86">
        <v>10000</v>
      </c>
      <c r="P75" s="48">
        <f t="shared" si="1"/>
        <v>14168.060000000001</v>
      </c>
      <c r="Q75" s="84"/>
      <c r="R75" s="87">
        <v>45048</v>
      </c>
      <c r="S75" s="88"/>
      <c r="T75" s="89">
        <v>15504003000325</v>
      </c>
      <c r="U75" s="88"/>
      <c r="V75" s="45"/>
      <c r="W75" s="45" t="s">
        <v>75</v>
      </c>
      <c r="X75" s="68"/>
      <c r="Y75" s="44"/>
      <c r="Z75" s="68"/>
      <c r="AA75" s="68"/>
    </row>
    <row r="76" spans="1:27">
      <c r="A76" s="44">
        <v>63</v>
      </c>
      <c r="B76" s="33" t="s">
        <v>242</v>
      </c>
      <c r="C76" s="44" t="s">
        <v>243</v>
      </c>
      <c r="D76" s="43">
        <v>3973</v>
      </c>
      <c r="E76" s="45" t="s">
        <v>244</v>
      </c>
      <c r="F76" s="46">
        <v>15504010202603</v>
      </c>
      <c r="G76" s="47" t="s">
        <v>36</v>
      </c>
      <c r="H76" s="48">
        <v>62900</v>
      </c>
      <c r="I76" s="49">
        <v>81683</v>
      </c>
      <c r="J76" s="43" t="s">
        <v>37</v>
      </c>
      <c r="K76" s="48">
        <f>9435+2516</f>
        <v>11951</v>
      </c>
      <c r="L76" s="48">
        <v>11951</v>
      </c>
      <c r="M76" s="48">
        <f>13586.4+2968.88</f>
        <v>16555.28</v>
      </c>
      <c r="N76" s="48">
        <f t="shared" si="0"/>
        <v>40457.279999999999</v>
      </c>
      <c r="O76" s="50">
        <v>10000</v>
      </c>
      <c r="P76" s="48">
        <f t="shared" si="1"/>
        <v>50457.279999999999</v>
      </c>
      <c r="Q76" s="43" t="s">
        <v>244</v>
      </c>
      <c r="R76" s="51">
        <v>44994</v>
      </c>
      <c r="S76" s="51">
        <v>45002</v>
      </c>
      <c r="T76" s="43"/>
      <c r="U76" s="43"/>
      <c r="V76" s="52"/>
      <c r="W76" s="53">
        <v>45020</v>
      </c>
      <c r="X76" s="54"/>
      <c r="Y76" s="54"/>
      <c r="Z76" s="43" t="s">
        <v>54</v>
      </c>
      <c r="AA76" s="51">
        <v>45058</v>
      </c>
    </row>
    <row r="77" spans="1:27">
      <c r="A77" s="43">
        <v>64</v>
      </c>
      <c r="B77" s="33" t="s">
        <v>242</v>
      </c>
      <c r="C77" s="44" t="s">
        <v>245</v>
      </c>
      <c r="D77" s="43">
        <v>6881</v>
      </c>
      <c r="E77" s="45" t="s">
        <v>87</v>
      </c>
      <c r="F77" s="46">
        <v>15504006903302</v>
      </c>
      <c r="G77" s="47" t="s">
        <v>36</v>
      </c>
      <c r="H77" s="48">
        <v>61860</v>
      </c>
      <c r="I77" s="49">
        <v>81366</v>
      </c>
      <c r="J77" s="43" t="s">
        <v>37</v>
      </c>
      <c r="K77" s="48">
        <f>9279+2474.4</f>
        <v>11753.4</v>
      </c>
      <c r="L77" s="48">
        <v>11753.4</v>
      </c>
      <c r="M77" s="48">
        <f>6680.85+6680.85+3934.29+3934.29</f>
        <v>21230.280000000002</v>
      </c>
      <c r="N77" s="48">
        <f t="shared" si="0"/>
        <v>44737.08</v>
      </c>
      <c r="O77" s="50">
        <v>10000</v>
      </c>
      <c r="P77" s="48">
        <f t="shared" si="1"/>
        <v>54737.08</v>
      </c>
      <c r="Q77" s="43" t="s">
        <v>87</v>
      </c>
      <c r="R77" s="51">
        <v>44993</v>
      </c>
      <c r="S77" s="51">
        <v>45002</v>
      </c>
      <c r="T77" s="43"/>
      <c r="U77" s="43"/>
      <c r="V77" s="52"/>
      <c r="W77" s="53"/>
      <c r="X77" s="54"/>
      <c r="Y77" s="54"/>
      <c r="Z77" s="43"/>
      <c r="AA77" s="43"/>
    </row>
    <row r="78" spans="1:27" ht="18" customHeight="1">
      <c r="A78" s="44">
        <v>65</v>
      </c>
      <c r="B78" s="33" t="s">
        <v>242</v>
      </c>
      <c r="C78" s="44" t="s">
        <v>246</v>
      </c>
      <c r="D78" s="43">
        <v>3493</v>
      </c>
      <c r="E78" s="45" t="s">
        <v>247</v>
      </c>
      <c r="F78" s="46">
        <v>15504009000102</v>
      </c>
      <c r="G78" s="47" t="s">
        <v>248</v>
      </c>
      <c r="H78" s="48">
        <v>32590</v>
      </c>
      <c r="I78" s="49">
        <v>50832</v>
      </c>
      <c r="J78" s="43" t="s">
        <v>37</v>
      </c>
      <c r="K78" s="48">
        <v>6192.1</v>
      </c>
      <c r="L78" s="48">
        <v>6192.1</v>
      </c>
      <c r="M78" s="48">
        <v>8577.76</v>
      </c>
      <c r="N78" s="48">
        <f t="shared" ref="N78:N141" si="2">K78+L78+M78</f>
        <v>20961.96</v>
      </c>
      <c r="O78" s="50">
        <v>10000</v>
      </c>
      <c r="P78" s="48">
        <f t="shared" ref="P78:P141" si="3">K78+L78+M78+O78</f>
        <v>30961.96</v>
      </c>
      <c r="Q78" s="43" t="s">
        <v>247</v>
      </c>
      <c r="R78" s="43" t="s">
        <v>249</v>
      </c>
      <c r="S78" s="51">
        <v>45007</v>
      </c>
      <c r="T78" s="43"/>
      <c r="U78" s="43"/>
      <c r="V78" s="52"/>
      <c r="W78" s="53"/>
      <c r="X78" s="54"/>
      <c r="Y78" s="54" t="s">
        <v>54</v>
      </c>
      <c r="Z78" s="43"/>
      <c r="AA78" s="43"/>
    </row>
    <row r="79" spans="1:27" ht="18" customHeight="1">
      <c r="A79" s="44">
        <v>66</v>
      </c>
      <c r="B79" s="33" t="s">
        <v>242</v>
      </c>
      <c r="C79" s="44" t="s">
        <v>250</v>
      </c>
      <c r="D79" s="43">
        <v>5221</v>
      </c>
      <c r="E79" s="45" t="s">
        <v>251</v>
      </c>
      <c r="F79" s="46">
        <v>15504009801709</v>
      </c>
      <c r="G79" s="47" t="s">
        <v>36</v>
      </c>
      <c r="H79" s="48">
        <v>49350</v>
      </c>
      <c r="I79" s="49">
        <v>63371</v>
      </c>
      <c r="J79" s="43" t="s">
        <v>37</v>
      </c>
      <c r="K79" s="48">
        <v>9376.5</v>
      </c>
      <c r="L79" s="48">
        <v>9376.5</v>
      </c>
      <c r="M79" s="48">
        <v>13028.4</v>
      </c>
      <c r="N79" s="48">
        <f t="shared" si="2"/>
        <v>31781.4</v>
      </c>
      <c r="O79" s="50">
        <v>10000</v>
      </c>
      <c r="P79" s="48">
        <f t="shared" si="3"/>
        <v>41781.4</v>
      </c>
      <c r="Q79" s="43" t="s">
        <v>251</v>
      </c>
      <c r="R79" s="51">
        <v>44994</v>
      </c>
      <c r="S79" s="51">
        <v>45002</v>
      </c>
      <c r="T79" s="43"/>
      <c r="U79" s="43"/>
      <c r="V79" s="52"/>
      <c r="W79" s="53"/>
      <c r="X79" s="54"/>
      <c r="Y79" s="54" t="s">
        <v>54</v>
      </c>
      <c r="Z79" s="43"/>
      <c r="AA79" s="43"/>
    </row>
    <row r="80" spans="1:27">
      <c r="A80" s="43">
        <v>67</v>
      </c>
      <c r="B80" s="33" t="s">
        <v>252</v>
      </c>
      <c r="C80" s="44" t="s">
        <v>253</v>
      </c>
      <c r="D80" s="43">
        <v>13608</v>
      </c>
      <c r="E80" s="45" t="s">
        <v>254</v>
      </c>
      <c r="F80" s="46">
        <v>15504003500301</v>
      </c>
      <c r="G80" s="47" t="s">
        <v>47</v>
      </c>
      <c r="H80" s="48">
        <v>5900</v>
      </c>
      <c r="I80" s="49">
        <v>72</v>
      </c>
      <c r="J80" s="43" t="s">
        <v>37</v>
      </c>
      <c r="K80" s="71">
        <v>1121</v>
      </c>
      <c r="L80" s="71">
        <v>1121</v>
      </c>
      <c r="M80" s="71">
        <v>1552.88</v>
      </c>
      <c r="N80" s="48">
        <f t="shared" si="2"/>
        <v>3794.88</v>
      </c>
      <c r="O80" s="50">
        <v>10000</v>
      </c>
      <c r="P80" s="48">
        <f t="shared" si="3"/>
        <v>13794.880000000001</v>
      </c>
      <c r="Q80" s="43" t="s">
        <v>254</v>
      </c>
      <c r="R80" s="51">
        <v>44963</v>
      </c>
      <c r="S80" s="51">
        <v>44999</v>
      </c>
      <c r="T80" s="43"/>
      <c r="U80" s="43"/>
      <c r="V80" s="72"/>
      <c r="W80" s="51">
        <v>45019</v>
      </c>
      <c r="X80" s="73">
        <v>44988</v>
      </c>
      <c r="Y80" s="54"/>
      <c r="Z80" s="43" t="s">
        <v>49</v>
      </c>
      <c r="AA80" s="43"/>
    </row>
    <row r="81" spans="1:52" ht="13.5" customHeight="1">
      <c r="A81" s="44">
        <v>68</v>
      </c>
      <c r="B81" s="33" t="s">
        <v>255</v>
      </c>
      <c r="C81" s="44" t="s">
        <v>256</v>
      </c>
      <c r="D81" s="43" t="s">
        <v>257</v>
      </c>
      <c r="E81" s="91" t="s">
        <v>161</v>
      </c>
      <c r="F81" s="46">
        <v>15504004702072</v>
      </c>
      <c r="G81" s="92" t="s">
        <v>258</v>
      </c>
      <c r="H81" s="48">
        <v>162540</v>
      </c>
      <c r="I81" s="49">
        <v>1806</v>
      </c>
      <c r="J81" s="43" t="s">
        <v>37</v>
      </c>
      <c r="K81" s="71">
        <v>30882.6</v>
      </c>
      <c r="L81" s="71">
        <v>30882.6</v>
      </c>
      <c r="M81" s="71">
        <v>42910.62</v>
      </c>
      <c r="N81" s="48">
        <f t="shared" si="2"/>
        <v>104675.82</v>
      </c>
      <c r="O81" s="50">
        <v>10000</v>
      </c>
      <c r="P81" s="48">
        <f t="shared" si="3"/>
        <v>114675.82</v>
      </c>
      <c r="Q81" s="43" t="s">
        <v>161</v>
      </c>
      <c r="R81" s="51">
        <v>45009</v>
      </c>
      <c r="S81" s="43"/>
      <c r="T81" s="43"/>
      <c r="U81" s="43"/>
      <c r="V81" s="72"/>
      <c r="W81" s="51">
        <v>45043</v>
      </c>
      <c r="X81" s="54"/>
      <c r="Y81" s="54" t="s">
        <v>54</v>
      </c>
      <c r="Z81" s="43"/>
      <c r="AA81" s="43"/>
    </row>
    <row r="82" spans="1:52" ht="13.5" customHeight="1">
      <c r="A82" s="44">
        <v>69</v>
      </c>
      <c r="B82" s="33" t="s">
        <v>259</v>
      </c>
      <c r="C82" s="44" t="s">
        <v>260</v>
      </c>
      <c r="D82" s="43" t="s">
        <v>261</v>
      </c>
      <c r="E82" s="45" t="s">
        <v>46</v>
      </c>
      <c r="F82" s="46">
        <v>15504007601229</v>
      </c>
      <c r="G82" s="47" t="s">
        <v>47</v>
      </c>
      <c r="H82" s="48">
        <v>7060</v>
      </c>
      <c r="I82" s="49">
        <v>98</v>
      </c>
      <c r="J82" s="43" t="s">
        <v>37</v>
      </c>
      <c r="K82" s="48">
        <v>1341.4</v>
      </c>
      <c r="L82" s="48">
        <v>1341.4</v>
      </c>
      <c r="M82" s="48">
        <v>1858.12</v>
      </c>
      <c r="N82" s="48">
        <f t="shared" si="2"/>
        <v>4540.92</v>
      </c>
      <c r="O82" s="50">
        <v>10000</v>
      </c>
      <c r="P82" s="48">
        <f t="shared" si="3"/>
        <v>14540.92</v>
      </c>
      <c r="Q82" s="43" t="s">
        <v>46</v>
      </c>
      <c r="R82" s="51">
        <v>44965</v>
      </c>
      <c r="S82" s="51">
        <v>45012</v>
      </c>
      <c r="T82" s="43"/>
      <c r="U82" s="43"/>
      <c r="V82" s="52"/>
      <c r="W82" s="53">
        <v>45042</v>
      </c>
      <c r="X82" s="54"/>
      <c r="Y82" s="54" t="s">
        <v>49</v>
      </c>
      <c r="Z82" s="51">
        <v>45062</v>
      </c>
      <c r="AA82" s="43"/>
      <c r="AZ82" s="55">
        <v>3000</v>
      </c>
    </row>
    <row r="83" spans="1:52" ht="19.5" customHeight="1">
      <c r="A83" s="43">
        <v>70</v>
      </c>
      <c r="B83" s="33" t="s">
        <v>262</v>
      </c>
      <c r="C83" s="43" t="s">
        <v>263</v>
      </c>
      <c r="D83" s="43" t="s">
        <v>264</v>
      </c>
      <c r="E83" s="45" t="s">
        <v>102</v>
      </c>
      <c r="F83" s="46">
        <v>15504002300321</v>
      </c>
      <c r="G83" s="47" t="s">
        <v>265</v>
      </c>
      <c r="H83" s="48">
        <v>12170</v>
      </c>
      <c r="I83" s="49">
        <v>53</v>
      </c>
      <c r="J83" s="43" t="s">
        <v>63</v>
      </c>
      <c r="K83" s="48">
        <v>1703.8</v>
      </c>
      <c r="L83" s="48">
        <v>1703.8</v>
      </c>
      <c r="M83" s="48">
        <v>2336.54</v>
      </c>
      <c r="N83" s="48">
        <f t="shared" si="2"/>
        <v>5744.1399999999994</v>
      </c>
      <c r="O83" s="50">
        <v>10000</v>
      </c>
      <c r="P83" s="48">
        <f t="shared" si="3"/>
        <v>15744.14</v>
      </c>
      <c r="Q83" s="43" t="s">
        <v>102</v>
      </c>
      <c r="R83" s="51">
        <v>44879</v>
      </c>
      <c r="S83" s="51"/>
      <c r="T83" s="51"/>
      <c r="U83" s="43"/>
      <c r="V83" s="52"/>
      <c r="W83" s="53">
        <v>45041</v>
      </c>
      <c r="X83" s="54"/>
      <c r="Y83" s="93" t="s">
        <v>266</v>
      </c>
      <c r="Z83" s="43" t="s">
        <v>267</v>
      </c>
      <c r="AA83" s="43"/>
    </row>
    <row r="84" spans="1:52">
      <c r="A84" s="44">
        <v>71</v>
      </c>
      <c r="B84" s="33" t="s">
        <v>268</v>
      </c>
      <c r="C84" s="44" t="s">
        <v>269</v>
      </c>
      <c r="D84" s="43">
        <v>10352</v>
      </c>
      <c r="E84" s="45" t="s">
        <v>270</v>
      </c>
      <c r="F84" s="46">
        <v>15504005401702</v>
      </c>
      <c r="G84" s="47" t="s">
        <v>36</v>
      </c>
      <c r="H84" s="48">
        <v>28520</v>
      </c>
      <c r="I84" s="49">
        <v>31716</v>
      </c>
      <c r="J84" s="43" t="s">
        <v>63</v>
      </c>
      <c r="K84" s="48">
        <v>3992.8</v>
      </c>
      <c r="L84" s="48">
        <v>3992.8</v>
      </c>
      <c r="M84" s="48">
        <v>5452.94</v>
      </c>
      <c r="N84" s="48">
        <f t="shared" si="2"/>
        <v>13438.54</v>
      </c>
      <c r="O84" s="50">
        <v>10000</v>
      </c>
      <c r="P84" s="48">
        <f t="shared" si="3"/>
        <v>23438.54</v>
      </c>
      <c r="Q84" s="43" t="s">
        <v>270</v>
      </c>
      <c r="R84" s="51">
        <v>44875</v>
      </c>
      <c r="S84" s="51">
        <v>45013</v>
      </c>
      <c r="T84" s="51"/>
      <c r="U84" s="43"/>
      <c r="V84" s="52"/>
      <c r="W84" s="53">
        <v>45041</v>
      </c>
      <c r="X84" s="54"/>
      <c r="Y84" s="54" t="s">
        <v>49</v>
      </c>
      <c r="Z84" s="43"/>
      <c r="AA84" s="43"/>
      <c r="AZ84" s="55">
        <v>10000</v>
      </c>
    </row>
    <row r="85" spans="1:52">
      <c r="A85" s="44">
        <v>72</v>
      </c>
      <c r="B85" s="33" t="s">
        <v>271</v>
      </c>
      <c r="C85" s="44" t="s">
        <v>272</v>
      </c>
      <c r="D85" s="43">
        <v>32701</v>
      </c>
      <c r="E85" s="45" t="s">
        <v>215</v>
      </c>
      <c r="F85" s="46">
        <v>15504010102233</v>
      </c>
      <c r="G85" s="47" t="s">
        <v>68</v>
      </c>
      <c r="H85" s="48">
        <v>35280</v>
      </c>
      <c r="I85" s="49">
        <v>490</v>
      </c>
      <c r="J85" s="43" t="s">
        <v>273</v>
      </c>
      <c r="K85" s="48">
        <v>3175.2</v>
      </c>
      <c r="L85" s="48">
        <v>3175.2</v>
      </c>
      <c r="M85" s="48">
        <v>4205.42</v>
      </c>
      <c r="N85" s="48">
        <f t="shared" si="2"/>
        <v>10555.82</v>
      </c>
      <c r="O85" s="50">
        <v>10000</v>
      </c>
      <c r="P85" s="48">
        <f t="shared" si="3"/>
        <v>20555.82</v>
      </c>
      <c r="Q85" s="43" t="s">
        <v>215</v>
      </c>
      <c r="R85" s="51">
        <v>44977</v>
      </c>
      <c r="S85" s="51">
        <v>45000</v>
      </c>
      <c r="T85" s="43"/>
      <c r="U85" s="43"/>
      <c r="V85" s="52"/>
      <c r="W85" s="53">
        <v>45019</v>
      </c>
      <c r="X85" s="54"/>
      <c r="Y85" s="54"/>
      <c r="Z85" s="43" t="s">
        <v>54</v>
      </c>
      <c r="AA85" s="43"/>
    </row>
    <row r="86" spans="1:52">
      <c r="A86" s="43">
        <v>73</v>
      </c>
      <c r="B86" s="33" t="s">
        <v>271</v>
      </c>
      <c r="C86" s="44" t="s">
        <v>274</v>
      </c>
      <c r="D86" s="43">
        <v>32699</v>
      </c>
      <c r="E86" s="45" t="s">
        <v>215</v>
      </c>
      <c r="F86" s="46">
        <v>15504010102039</v>
      </c>
      <c r="G86" s="47" t="s">
        <v>68</v>
      </c>
      <c r="H86" s="48">
        <v>88270</v>
      </c>
      <c r="I86" s="49">
        <v>1226</v>
      </c>
      <c r="J86" s="43" t="s">
        <v>37</v>
      </c>
      <c r="K86" s="48">
        <f>13240.5+3530.8</f>
        <v>16771.3</v>
      </c>
      <c r="L86" s="48">
        <v>16771.3</v>
      </c>
      <c r="M86" s="48">
        <f>19066.2+4166.34</f>
        <v>23232.54</v>
      </c>
      <c r="N86" s="48">
        <f t="shared" si="2"/>
        <v>56775.14</v>
      </c>
      <c r="O86" s="50">
        <v>10000</v>
      </c>
      <c r="P86" s="48">
        <f t="shared" si="3"/>
        <v>66775.14</v>
      </c>
      <c r="Q86" s="43" t="s">
        <v>215</v>
      </c>
      <c r="R86" s="51">
        <v>44977</v>
      </c>
      <c r="S86" s="51">
        <v>45000</v>
      </c>
      <c r="T86" s="43"/>
      <c r="U86" s="43"/>
      <c r="V86" s="52"/>
      <c r="W86" s="53">
        <v>45019</v>
      </c>
      <c r="X86" s="54"/>
      <c r="Y86" s="54"/>
      <c r="Z86" s="43" t="s">
        <v>54</v>
      </c>
      <c r="AA86" s="43"/>
    </row>
    <row r="87" spans="1:52">
      <c r="A87" s="44">
        <v>74</v>
      </c>
      <c r="B87" s="33" t="s">
        <v>271</v>
      </c>
      <c r="C87" s="44" t="s">
        <v>275</v>
      </c>
      <c r="D87" s="43"/>
      <c r="E87" s="45" t="s">
        <v>215</v>
      </c>
      <c r="F87" s="46">
        <v>15504010101676</v>
      </c>
      <c r="G87" s="47" t="s">
        <v>157</v>
      </c>
      <c r="H87" s="48">
        <v>18450</v>
      </c>
      <c r="I87" s="49"/>
      <c r="J87" s="43" t="s">
        <v>273</v>
      </c>
      <c r="K87" s="48">
        <v>1660.5</v>
      </c>
      <c r="L87" s="48">
        <v>1660.5</v>
      </c>
      <c r="M87" s="48">
        <v>2199.2399999999998</v>
      </c>
      <c r="N87" s="48">
        <f t="shared" si="2"/>
        <v>5520.24</v>
      </c>
      <c r="O87" s="50">
        <v>10000</v>
      </c>
      <c r="P87" s="48">
        <f t="shared" si="3"/>
        <v>15520.24</v>
      </c>
      <c r="Q87" s="43" t="s">
        <v>215</v>
      </c>
      <c r="R87" s="51">
        <v>44977</v>
      </c>
      <c r="S87" s="51">
        <v>45000</v>
      </c>
      <c r="T87" s="43"/>
      <c r="U87" s="43"/>
      <c r="V87" s="52"/>
      <c r="W87" s="53">
        <v>45019</v>
      </c>
      <c r="X87" s="54"/>
      <c r="Y87" s="54"/>
      <c r="Z87" s="43" t="s">
        <v>54</v>
      </c>
      <c r="AA87" s="43"/>
    </row>
    <row r="88" spans="1:52" s="67" customFormat="1">
      <c r="A88" s="44">
        <v>75</v>
      </c>
      <c r="B88" s="56" t="s">
        <v>276</v>
      </c>
      <c r="C88" s="44" t="s">
        <v>277</v>
      </c>
      <c r="D88" s="44" t="s">
        <v>278</v>
      </c>
      <c r="E88" s="68" t="s">
        <v>279</v>
      </c>
      <c r="F88" s="69">
        <v>15504008000737</v>
      </c>
      <c r="G88" s="59" t="s">
        <v>68</v>
      </c>
      <c r="H88" s="60">
        <v>18820</v>
      </c>
      <c r="I88" s="61">
        <v>672</v>
      </c>
      <c r="J88" s="44" t="s">
        <v>37</v>
      </c>
      <c r="K88" s="60">
        <v>3577.8</v>
      </c>
      <c r="L88" s="60">
        <v>3577.8</v>
      </c>
      <c r="M88" s="60">
        <v>4953.3</v>
      </c>
      <c r="N88" s="60">
        <f t="shared" si="2"/>
        <v>12108.900000000001</v>
      </c>
      <c r="O88" s="62">
        <v>10000</v>
      </c>
      <c r="P88" s="60">
        <f t="shared" si="3"/>
        <v>22108.9</v>
      </c>
      <c r="Q88" s="44" t="s">
        <v>279</v>
      </c>
      <c r="R88" s="63">
        <v>44880</v>
      </c>
      <c r="S88" s="63">
        <v>45014</v>
      </c>
      <c r="T88" s="63" t="s">
        <v>280</v>
      </c>
      <c r="U88" s="44"/>
      <c r="V88" s="64"/>
      <c r="W88" s="65">
        <v>45035</v>
      </c>
      <c r="X88" s="66"/>
      <c r="Y88" s="66" t="s">
        <v>281</v>
      </c>
      <c r="Z88" s="63">
        <v>45063</v>
      </c>
      <c r="AA88" s="44"/>
    </row>
    <row r="89" spans="1:52" s="67" customFormat="1">
      <c r="A89" s="43">
        <v>76</v>
      </c>
      <c r="B89" s="56" t="s">
        <v>276</v>
      </c>
      <c r="C89" s="44" t="s">
        <v>282</v>
      </c>
      <c r="D89" s="44" t="s">
        <v>283</v>
      </c>
      <c r="E89" s="68" t="s">
        <v>279</v>
      </c>
      <c r="F89" s="69">
        <v>15504008000707</v>
      </c>
      <c r="G89" s="59" t="s">
        <v>68</v>
      </c>
      <c r="H89" s="60">
        <v>19820</v>
      </c>
      <c r="I89" s="61">
        <v>708</v>
      </c>
      <c r="J89" s="44" t="s">
        <v>37</v>
      </c>
      <c r="K89" s="60">
        <v>3765.8</v>
      </c>
      <c r="L89" s="60">
        <v>3765.8</v>
      </c>
      <c r="M89" s="60">
        <v>5216.5</v>
      </c>
      <c r="N89" s="60">
        <f t="shared" si="2"/>
        <v>12748.1</v>
      </c>
      <c r="O89" s="62">
        <v>10000</v>
      </c>
      <c r="P89" s="60">
        <f t="shared" si="3"/>
        <v>22748.1</v>
      </c>
      <c r="Q89" s="44" t="s">
        <v>279</v>
      </c>
      <c r="R89" s="63">
        <v>44880</v>
      </c>
      <c r="S89" s="63">
        <v>45014</v>
      </c>
      <c r="T89" s="63" t="s">
        <v>280</v>
      </c>
      <c r="U89" s="44"/>
      <c r="V89" s="64"/>
      <c r="W89" s="65"/>
      <c r="X89" s="66"/>
      <c r="Y89" s="66" t="s">
        <v>54</v>
      </c>
      <c r="Z89" s="63">
        <v>45063</v>
      </c>
      <c r="AA89" s="44"/>
    </row>
    <row r="90" spans="1:52">
      <c r="A90" s="44">
        <v>77</v>
      </c>
      <c r="B90" s="33" t="s">
        <v>284</v>
      </c>
      <c r="C90" s="44" t="s">
        <v>285</v>
      </c>
      <c r="D90" s="43">
        <v>24447</v>
      </c>
      <c r="E90" s="81" t="s">
        <v>211</v>
      </c>
      <c r="F90" s="46">
        <v>15504008300303</v>
      </c>
      <c r="G90" s="47" t="s">
        <v>36</v>
      </c>
      <c r="H90" s="48">
        <v>21670</v>
      </c>
      <c r="I90" s="49">
        <v>39687</v>
      </c>
      <c r="J90" s="43" t="s">
        <v>37</v>
      </c>
      <c r="K90" s="48">
        <v>1950.3</v>
      </c>
      <c r="L90" s="48">
        <v>1950.3</v>
      </c>
      <c r="M90" s="48">
        <v>2583.02</v>
      </c>
      <c r="N90" s="48">
        <f t="shared" si="2"/>
        <v>6483.62</v>
      </c>
      <c r="O90" s="50">
        <v>10000</v>
      </c>
      <c r="P90" s="48">
        <f t="shared" si="3"/>
        <v>16483.62</v>
      </c>
      <c r="Q90" s="43" t="s">
        <v>211</v>
      </c>
      <c r="R90" s="51">
        <v>44901</v>
      </c>
      <c r="S90" s="51">
        <v>45015</v>
      </c>
      <c r="T90" s="51"/>
      <c r="U90" s="43"/>
      <c r="V90" s="52"/>
      <c r="W90" s="53"/>
      <c r="X90" s="54"/>
      <c r="Y90" s="54" t="s">
        <v>54</v>
      </c>
      <c r="Z90" s="43"/>
      <c r="AA90" s="43"/>
    </row>
    <row r="91" spans="1:52" s="67" customFormat="1">
      <c r="A91" s="44">
        <v>78</v>
      </c>
      <c r="B91" s="56" t="s">
        <v>286</v>
      </c>
      <c r="C91" s="44" t="s">
        <v>287</v>
      </c>
      <c r="D91" s="70" t="s">
        <v>288</v>
      </c>
      <c r="E91" s="68" t="s">
        <v>289</v>
      </c>
      <c r="F91" s="69">
        <v>15504011003204</v>
      </c>
      <c r="G91" s="59" t="s">
        <v>47</v>
      </c>
      <c r="H91" s="60">
        <v>107920</v>
      </c>
      <c r="I91" s="61">
        <v>3582</v>
      </c>
      <c r="J91" s="44" t="s">
        <v>37</v>
      </c>
      <c r="K91" s="60">
        <v>20504.8</v>
      </c>
      <c r="L91" s="60">
        <v>20504.8</v>
      </c>
      <c r="M91" s="60">
        <v>28318.06</v>
      </c>
      <c r="N91" s="60">
        <f t="shared" si="2"/>
        <v>69327.66</v>
      </c>
      <c r="O91" s="62">
        <v>10000</v>
      </c>
      <c r="P91" s="60">
        <f t="shared" si="3"/>
        <v>79327.66</v>
      </c>
      <c r="Q91" s="44" t="s">
        <v>289</v>
      </c>
      <c r="R91" s="63">
        <v>44986</v>
      </c>
      <c r="S91" s="63">
        <v>45014</v>
      </c>
      <c r="T91" s="44"/>
      <c r="U91" s="44"/>
      <c r="V91" s="64"/>
      <c r="W91" s="65">
        <v>45040</v>
      </c>
      <c r="X91" s="66"/>
      <c r="Y91" s="66" t="s">
        <v>54</v>
      </c>
      <c r="Z91" s="44"/>
      <c r="AA91" s="44"/>
    </row>
    <row r="92" spans="1:52" s="67" customFormat="1">
      <c r="A92" s="43">
        <v>79</v>
      </c>
      <c r="B92" s="56" t="s">
        <v>290</v>
      </c>
      <c r="C92" s="44" t="s">
        <v>291</v>
      </c>
      <c r="D92" s="44">
        <v>47679</v>
      </c>
      <c r="E92" s="68" t="s">
        <v>292</v>
      </c>
      <c r="F92" s="69">
        <v>15504004901057</v>
      </c>
      <c r="G92" s="59" t="s">
        <v>293</v>
      </c>
      <c r="H92" s="60">
        <v>25450</v>
      </c>
      <c r="I92" s="61">
        <v>404</v>
      </c>
      <c r="J92" s="44" t="s">
        <v>115</v>
      </c>
      <c r="K92" s="60">
        <v>7253.25</v>
      </c>
      <c r="L92" s="60">
        <v>4835.5</v>
      </c>
      <c r="M92" s="60">
        <v>8373.06</v>
      </c>
      <c r="N92" s="60">
        <f t="shared" si="2"/>
        <v>20461.809999999998</v>
      </c>
      <c r="O92" s="62">
        <v>10000</v>
      </c>
      <c r="P92" s="60">
        <f t="shared" si="3"/>
        <v>30461.809999999998</v>
      </c>
      <c r="Q92" s="44" t="s">
        <v>292</v>
      </c>
      <c r="R92" s="63">
        <v>44874</v>
      </c>
      <c r="S92" s="63">
        <v>45006</v>
      </c>
      <c r="T92" s="63"/>
      <c r="U92" s="44"/>
      <c r="V92" s="64"/>
      <c r="W92" s="65"/>
      <c r="X92" s="66"/>
      <c r="Y92" s="66" t="s">
        <v>49</v>
      </c>
      <c r="Z92" s="63">
        <v>45068</v>
      </c>
      <c r="AA92" s="44"/>
    </row>
    <row r="93" spans="1:52" s="67" customFormat="1">
      <c r="A93" s="44">
        <v>80</v>
      </c>
      <c r="B93" s="56" t="s">
        <v>294</v>
      </c>
      <c r="C93" s="44" t="s">
        <v>295</v>
      </c>
      <c r="D93" s="44" t="s">
        <v>296</v>
      </c>
      <c r="E93" s="68" t="s">
        <v>222</v>
      </c>
      <c r="F93" s="69">
        <v>15504004802101</v>
      </c>
      <c r="G93" s="59" t="s">
        <v>36</v>
      </c>
      <c r="H93" s="60">
        <v>20130</v>
      </c>
      <c r="I93" s="61">
        <v>14175</v>
      </c>
      <c r="J93" s="44" t="s">
        <v>37</v>
      </c>
      <c r="K93" s="60">
        <f>3019.5+805.2</f>
        <v>3824.7</v>
      </c>
      <c r="L93" s="60">
        <v>3824.7</v>
      </c>
      <c r="M93" s="60">
        <f>4348.2+950.14</f>
        <v>5298.34</v>
      </c>
      <c r="N93" s="60">
        <f t="shared" si="2"/>
        <v>12947.74</v>
      </c>
      <c r="O93" s="62">
        <v>10000</v>
      </c>
      <c r="P93" s="60">
        <f t="shared" si="3"/>
        <v>22947.739999999998</v>
      </c>
      <c r="Q93" s="44" t="s">
        <v>222</v>
      </c>
      <c r="R93" s="63">
        <v>44873</v>
      </c>
      <c r="S93" s="63">
        <v>45015</v>
      </c>
      <c r="T93" s="63"/>
      <c r="U93" s="44"/>
      <c r="V93" s="64"/>
      <c r="W93" s="65">
        <v>45019</v>
      </c>
      <c r="X93" s="66"/>
      <c r="Y93" s="66"/>
      <c r="Z93" s="44" t="s">
        <v>54</v>
      </c>
      <c r="AA93" s="44"/>
    </row>
    <row r="94" spans="1:52">
      <c r="A94" s="44">
        <v>81</v>
      </c>
      <c r="B94" s="33" t="s">
        <v>297</v>
      </c>
      <c r="C94" s="44" t="s">
        <v>298</v>
      </c>
      <c r="D94" s="43">
        <v>6213</v>
      </c>
      <c r="E94" s="45" t="s">
        <v>222</v>
      </c>
      <c r="F94" s="46">
        <v>15504004802102</v>
      </c>
      <c r="G94" s="47" t="s">
        <v>47</v>
      </c>
      <c r="H94" s="48">
        <v>146440</v>
      </c>
      <c r="I94" s="49">
        <v>5953</v>
      </c>
      <c r="J94" s="43" t="s">
        <v>37</v>
      </c>
      <c r="K94" s="48">
        <f>21966+5857.6</f>
        <v>27823.599999999999</v>
      </c>
      <c r="L94" s="48">
        <v>27823.599999999999</v>
      </c>
      <c r="M94" s="48">
        <f>31631.1+6911.98</f>
        <v>38543.08</v>
      </c>
      <c r="N94" s="48">
        <f t="shared" si="2"/>
        <v>94190.28</v>
      </c>
      <c r="O94" s="50">
        <v>10000</v>
      </c>
      <c r="P94" s="48">
        <f t="shared" si="3"/>
        <v>104190.28</v>
      </c>
      <c r="Q94" s="43" t="s">
        <v>222</v>
      </c>
      <c r="R94" s="51">
        <v>44873</v>
      </c>
      <c r="S94" s="51">
        <v>45015</v>
      </c>
      <c r="T94" s="51"/>
      <c r="U94" s="43"/>
      <c r="V94" s="52"/>
      <c r="W94" s="53">
        <v>45019</v>
      </c>
      <c r="X94" s="54"/>
      <c r="Y94" s="54"/>
      <c r="Z94" s="43" t="s">
        <v>54</v>
      </c>
      <c r="AA94" s="43"/>
    </row>
    <row r="95" spans="1:52" s="67" customFormat="1">
      <c r="A95" s="43">
        <v>82</v>
      </c>
      <c r="B95" s="56" t="s">
        <v>297</v>
      </c>
      <c r="C95" s="44" t="s">
        <v>299</v>
      </c>
      <c r="D95" s="44" t="s">
        <v>300</v>
      </c>
      <c r="E95" s="68" t="s">
        <v>222</v>
      </c>
      <c r="F95" s="69">
        <v>15504004801502</v>
      </c>
      <c r="G95" s="59" t="s">
        <v>36</v>
      </c>
      <c r="H95" s="60">
        <v>16590</v>
      </c>
      <c r="I95" s="61">
        <v>51216</v>
      </c>
      <c r="J95" s="44" t="s">
        <v>37</v>
      </c>
      <c r="K95" s="60">
        <f>2488.5+663.6</f>
        <v>3152.1</v>
      </c>
      <c r="L95" s="60">
        <v>3152.1</v>
      </c>
      <c r="M95" s="60">
        <f>3583.5+783.06</f>
        <v>4366.5599999999995</v>
      </c>
      <c r="N95" s="60">
        <f t="shared" si="2"/>
        <v>10670.759999999998</v>
      </c>
      <c r="O95" s="62">
        <v>10000</v>
      </c>
      <c r="P95" s="60">
        <f t="shared" si="3"/>
        <v>20670.759999999998</v>
      </c>
      <c r="Q95" s="44" t="s">
        <v>222</v>
      </c>
      <c r="R95" s="63">
        <v>44873</v>
      </c>
      <c r="S95" s="63">
        <v>45015</v>
      </c>
      <c r="T95" s="63"/>
      <c r="U95" s="44"/>
      <c r="V95" s="64"/>
      <c r="W95" s="65">
        <v>45019</v>
      </c>
      <c r="X95" s="66"/>
      <c r="Y95" s="66"/>
      <c r="Z95" s="44" t="s">
        <v>54</v>
      </c>
      <c r="AA95" s="44"/>
    </row>
    <row r="96" spans="1:52" s="67" customFormat="1">
      <c r="A96" s="44">
        <v>83</v>
      </c>
      <c r="B96" s="56" t="s">
        <v>301</v>
      </c>
      <c r="C96" s="44" t="s">
        <v>302</v>
      </c>
      <c r="D96" s="34"/>
      <c r="E96" s="68" t="s">
        <v>303</v>
      </c>
      <c r="F96" s="69">
        <v>15504005300415</v>
      </c>
      <c r="G96" s="59" t="s">
        <v>47</v>
      </c>
      <c r="H96" s="62">
        <v>1117780</v>
      </c>
      <c r="I96" s="61">
        <v>18175</v>
      </c>
      <c r="J96" s="44" t="s">
        <v>37</v>
      </c>
      <c r="K96" s="60">
        <v>212378.2</v>
      </c>
      <c r="L96" s="60">
        <v>212378.2</v>
      </c>
      <c r="M96" s="60">
        <v>294199.82</v>
      </c>
      <c r="N96" s="60">
        <f t="shared" si="2"/>
        <v>718956.22</v>
      </c>
      <c r="O96" s="62">
        <v>10000</v>
      </c>
      <c r="P96" s="60">
        <f t="shared" si="3"/>
        <v>728956.22</v>
      </c>
      <c r="Q96" s="44" t="s">
        <v>303</v>
      </c>
      <c r="R96" s="63">
        <v>44874</v>
      </c>
      <c r="S96" s="44"/>
      <c r="T96" s="63"/>
      <c r="U96" s="44"/>
      <c r="V96" s="64"/>
      <c r="W96" s="65"/>
      <c r="X96" s="66"/>
      <c r="Y96" s="66"/>
      <c r="Z96" s="44"/>
      <c r="AA96" s="44"/>
    </row>
    <row r="97" spans="1:27" s="67" customFormat="1">
      <c r="A97" s="44">
        <v>84</v>
      </c>
      <c r="B97" s="56" t="s">
        <v>304</v>
      </c>
      <c r="C97" s="44" t="s">
        <v>305</v>
      </c>
      <c r="D97" s="70" t="s">
        <v>306</v>
      </c>
      <c r="E97" s="68" t="s">
        <v>307</v>
      </c>
      <c r="F97" s="69">
        <v>15504006600979</v>
      </c>
      <c r="G97" s="59" t="s">
        <v>47</v>
      </c>
      <c r="H97" s="60">
        <v>41000</v>
      </c>
      <c r="I97" s="61">
        <v>500</v>
      </c>
      <c r="J97" s="44" t="s">
        <v>48</v>
      </c>
      <c r="K97" s="60">
        <f>4100</f>
        <v>4100</v>
      </c>
      <c r="L97" s="60">
        <v>4100</v>
      </c>
      <c r="M97" s="60">
        <v>5477.6</v>
      </c>
      <c r="N97" s="60">
        <f t="shared" si="2"/>
        <v>13677.6</v>
      </c>
      <c r="O97" s="62">
        <v>10000</v>
      </c>
      <c r="P97" s="60">
        <f t="shared" si="3"/>
        <v>23677.599999999999</v>
      </c>
      <c r="Q97" s="44" t="s">
        <v>307</v>
      </c>
      <c r="R97" s="63">
        <v>44971</v>
      </c>
      <c r="S97" s="63">
        <v>44879</v>
      </c>
      <c r="T97" s="63">
        <v>45000</v>
      </c>
      <c r="U97" s="44"/>
      <c r="V97" s="64"/>
      <c r="W97" s="65">
        <v>45016</v>
      </c>
      <c r="X97" s="66"/>
      <c r="Y97" s="66"/>
      <c r="Z97" s="44" t="s">
        <v>54</v>
      </c>
      <c r="AA97" s="63">
        <v>45061</v>
      </c>
    </row>
    <row r="98" spans="1:27" s="67" customFormat="1">
      <c r="A98" s="43">
        <v>85</v>
      </c>
      <c r="B98" s="56" t="s">
        <v>308</v>
      </c>
      <c r="C98" s="44" t="s">
        <v>309</v>
      </c>
      <c r="D98" s="44" t="s">
        <v>310</v>
      </c>
      <c r="E98" s="68" t="s">
        <v>57</v>
      </c>
      <c r="F98" s="69">
        <v>15504003101750</v>
      </c>
      <c r="G98" s="59" t="s">
        <v>68</v>
      </c>
      <c r="H98" s="60">
        <v>3570</v>
      </c>
      <c r="I98" s="61">
        <v>85</v>
      </c>
      <c r="J98" s="44" t="s">
        <v>92</v>
      </c>
      <c r="K98" s="60">
        <v>214.2</v>
      </c>
      <c r="L98" s="60">
        <v>214.2</v>
      </c>
      <c r="M98" s="60">
        <v>271.3</v>
      </c>
      <c r="N98" s="60">
        <f t="shared" si="2"/>
        <v>699.7</v>
      </c>
      <c r="O98" s="62">
        <v>10000</v>
      </c>
      <c r="P98" s="60">
        <f t="shared" si="3"/>
        <v>10699.7</v>
      </c>
      <c r="Q98" s="44" t="s">
        <v>57</v>
      </c>
      <c r="R98" s="63">
        <v>44960</v>
      </c>
      <c r="S98" s="63">
        <v>44998</v>
      </c>
      <c r="T98" s="63"/>
      <c r="U98" s="44"/>
      <c r="V98" s="64"/>
      <c r="W98" s="65">
        <v>45020</v>
      </c>
      <c r="X98" s="94">
        <v>44992</v>
      </c>
      <c r="Y98" s="66"/>
      <c r="Z98" s="44" t="s">
        <v>54</v>
      </c>
      <c r="AA98" s="44"/>
    </row>
    <row r="99" spans="1:27">
      <c r="A99" s="44">
        <v>86</v>
      </c>
      <c r="B99" s="33" t="s">
        <v>308</v>
      </c>
      <c r="C99" s="44" t="s">
        <v>311</v>
      </c>
      <c r="D99" s="43" t="s">
        <v>312</v>
      </c>
      <c r="E99" s="45" t="s">
        <v>57</v>
      </c>
      <c r="F99" s="46">
        <v>15504003100363</v>
      </c>
      <c r="G99" s="47" t="s">
        <v>68</v>
      </c>
      <c r="H99" s="48">
        <v>109120</v>
      </c>
      <c r="I99" s="49">
        <v>2598</v>
      </c>
      <c r="J99" s="43" t="s">
        <v>169</v>
      </c>
      <c r="K99" s="48">
        <v>7638.4</v>
      </c>
      <c r="L99" s="48">
        <v>7638.4</v>
      </c>
      <c r="M99" s="48">
        <v>9864.42</v>
      </c>
      <c r="N99" s="48">
        <f t="shared" si="2"/>
        <v>25141.22</v>
      </c>
      <c r="O99" s="50">
        <v>10000</v>
      </c>
      <c r="P99" s="48">
        <f t="shared" si="3"/>
        <v>35141.22</v>
      </c>
      <c r="Q99" s="43" t="s">
        <v>57</v>
      </c>
      <c r="R99" s="51">
        <v>44960</v>
      </c>
      <c r="S99" s="51">
        <v>44998</v>
      </c>
      <c r="T99" s="51"/>
      <c r="U99" s="43"/>
      <c r="V99" s="52"/>
      <c r="W99" s="53">
        <v>45020</v>
      </c>
      <c r="X99" s="73">
        <v>44992</v>
      </c>
      <c r="Y99" s="54"/>
      <c r="Z99" s="43" t="s">
        <v>54</v>
      </c>
      <c r="AA99" s="43"/>
    </row>
    <row r="100" spans="1:27">
      <c r="A100" s="44">
        <v>87</v>
      </c>
      <c r="B100" s="33" t="s">
        <v>308</v>
      </c>
      <c r="C100" s="44" t="s">
        <v>313</v>
      </c>
      <c r="D100" s="43" t="s">
        <v>314</v>
      </c>
      <c r="E100" s="45" t="s">
        <v>57</v>
      </c>
      <c r="F100" s="46">
        <v>15504003101828</v>
      </c>
      <c r="G100" s="47" t="s">
        <v>47</v>
      </c>
      <c r="H100" s="48">
        <v>3230</v>
      </c>
      <c r="I100" s="49">
        <v>77</v>
      </c>
      <c r="J100" s="43" t="s">
        <v>315</v>
      </c>
      <c r="K100" s="48">
        <v>129.19999999999999</v>
      </c>
      <c r="L100" s="48">
        <v>129.19999999999999</v>
      </c>
      <c r="M100" s="48">
        <v>152.46</v>
      </c>
      <c r="N100" s="48">
        <f t="shared" si="2"/>
        <v>410.86</v>
      </c>
      <c r="O100" s="50">
        <v>10000</v>
      </c>
      <c r="P100" s="48">
        <f t="shared" si="3"/>
        <v>10410.86</v>
      </c>
      <c r="Q100" s="43" t="s">
        <v>57</v>
      </c>
      <c r="R100" s="51">
        <v>44960</v>
      </c>
      <c r="S100" s="51">
        <v>44998</v>
      </c>
      <c r="T100" s="51"/>
      <c r="U100" s="43"/>
      <c r="V100" s="52"/>
      <c r="W100" s="53">
        <v>45020</v>
      </c>
      <c r="X100" s="73">
        <v>44992</v>
      </c>
      <c r="Y100" s="54"/>
      <c r="Z100" s="43" t="s">
        <v>49</v>
      </c>
      <c r="AA100" s="43"/>
    </row>
    <row r="101" spans="1:27">
      <c r="A101" s="43">
        <v>88</v>
      </c>
      <c r="B101" s="33" t="s">
        <v>308</v>
      </c>
      <c r="C101" s="44" t="s">
        <v>316</v>
      </c>
      <c r="D101" s="43" t="s">
        <v>317</v>
      </c>
      <c r="E101" s="45" t="s">
        <v>57</v>
      </c>
      <c r="F101" s="46">
        <v>15504003101827</v>
      </c>
      <c r="G101" s="47" t="s">
        <v>47</v>
      </c>
      <c r="H101" s="48">
        <v>2690</v>
      </c>
      <c r="I101" s="49">
        <v>64</v>
      </c>
      <c r="J101" s="43" t="s">
        <v>315</v>
      </c>
      <c r="K101" s="48">
        <v>107.6</v>
      </c>
      <c r="L101" s="48">
        <v>107.6</v>
      </c>
      <c r="M101" s="48">
        <v>126.98</v>
      </c>
      <c r="N101" s="48">
        <f t="shared" si="2"/>
        <v>342.18</v>
      </c>
      <c r="O101" s="50">
        <v>10000</v>
      </c>
      <c r="P101" s="48">
        <f t="shared" si="3"/>
        <v>10342.18</v>
      </c>
      <c r="Q101" s="43" t="s">
        <v>57</v>
      </c>
      <c r="R101" s="51">
        <v>44960</v>
      </c>
      <c r="S101" s="51">
        <v>44998</v>
      </c>
      <c r="T101" s="51"/>
      <c r="U101" s="43"/>
      <c r="V101" s="52"/>
      <c r="W101" s="53">
        <v>45020</v>
      </c>
      <c r="X101" s="73">
        <v>44992</v>
      </c>
      <c r="Y101" s="54"/>
      <c r="Z101" s="43" t="s">
        <v>49</v>
      </c>
      <c r="AA101" s="43"/>
    </row>
    <row r="102" spans="1:27">
      <c r="A102" s="44">
        <v>89</v>
      </c>
      <c r="B102" s="33" t="s">
        <v>308</v>
      </c>
      <c r="C102" s="44" t="s">
        <v>318</v>
      </c>
      <c r="D102" s="43" t="s">
        <v>319</v>
      </c>
      <c r="E102" s="45" t="s">
        <v>57</v>
      </c>
      <c r="F102" s="46">
        <v>15504003101827</v>
      </c>
      <c r="G102" s="47" t="s">
        <v>47</v>
      </c>
      <c r="H102" s="48">
        <v>2690</v>
      </c>
      <c r="I102" s="49">
        <v>64</v>
      </c>
      <c r="J102" s="43" t="s">
        <v>315</v>
      </c>
      <c r="K102" s="48">
        <v>107.6</v>
      </c>
      <c r="L102" s="48">
        <v>107.6</v>
      </c>
      <c r="M102" s="48">
        <v>126.98</v>
      </c>
      <c r="N102" s="48">
        <f t="shared" si="2"/>
        <v>342.18</v>
      </c>
      <c r="O102" s="50">
        <v>10000</v>
      </c>
      <c r="P102" s="48">
        <f t="shared" si="3"/>
        <v>10342.18</v>
      </c>
      <c r="Q102" s="43" t="s">
        <v>57</v>
      </c>
      <c r="R102" s="51">
        <v>44960</v>
      </c>
      <c r="S102" s="51">
        <v>44998</v>
      </c>
      <c r="T102" s="51"/>
      <c r="U102" s="43"/>
      <c r="V102" s="52"/>
      <c r="W102" s="53">
        <v>45020</v>
      </c>
      <c r="X102" s="73">
        <v>44992</v>
      </c>
      <c r="Y102" s="54"/>
      <c r="Z102" s="43" t="s">
        <v>49</v>
      </c>
      <c r="AA102" s="43"/>
    </row>
    <row r="103" spans="1:27">
      <c r="A103" s="44">
        <v>90</v>
      </c>
      <c r="B103" s="33" t="s">
        <v>308</v>
      </c>
      <c r="C103" s="44" t="s">
        <v>320</v>
      </c>
      <c r="D103" s="43" t="s">
        <v>321</v>
      </c>
      <c r="E103" s="45" t="s">
        <v>57</v>
      </c>
      <c r="F103" s="46">
        <v>15504003101825</v>
      </c>
      <c r="G103" s="47" t="s">
        <v>47</v>
      </c>
      <c r="H103" s="48">
        <v>2690</v>
      </c>
      <c r="I103" s="49">
        <v>64</v>
      </c>
      <c r="J103" s="43" t="s">
        <v>199</v>
      </c>
      <c r="K103" s="48">
        <v>134.5</v>
      </c>
      <c r="L103" s="48">
        <v>134.5</v>
      </c>
      <c r="M103" s="48">
        <v>165.72</v>
      </c>
      <c r="N103" s="48">
        <f t="shared" si="2"/>
        <v>434.72</v>
      </c>
      <c r="O103" s="50">
        <v>10000</v>
      </c>
      <c r="P103" s="48">
        <f t="shared" si="3"/>
        <v>10434.719999999999</v>
      </c>
      <c r="Q103" s="43" t="s">
        <v>57</v>
      </c>
      <c r="R103" s="51">
        <v>44960</v>
      </c>
      <c r="S103" s="51">
        <v>44998</v>
      </c>
      <c r="T103" s="51"/>
      <c r="U103" s="43"/>
      <c r="V103" s="52"/>
      <c r="W103" s="53">
        <v>45020</v>
      </c>
      <c r="X103" s="73">
        <v>44992</v>
      </c>
      <c r="Y103" s="54"/>
      <c r="Z103" s="43" t="s">
        <v>49</v>
      </c>
      <c r="AA103" s="43"/>
    </row>
    <row r="104" spans="1:27" s="67" customFormat="1">
      <c r="A104" s="43">
        <v>91</v>
      </c>
      <c r="B104" s="56" t="s">
        <v>308</v>
      </c>
      <c r="C104" s="44" t="s">
        <v>322</v>
      </c>
      <c r="D104" s="34" t="s">
        <v>323</v>
      </c>
      <c r="E104" s="68" t="s">
        <v>57</v>
      </c>
      <c r="F104" s="69">
        <v>15504003101818</v>
      </c>
      <c r="G104" s="59" t="s">
        <v>47</v>
      </c>
      <c r="H104" s="60">
        <v>2690</v>
      </c>
      <c r="I104" s="61">
        <v>64</v>
      </c>
      <c r="J104" s="44" t="s">
        <v>324</v>
      </c>
      <c r="K104" s="60">
        <v>215.2</v>
      </c>
      <c r="L104" s="60">
        <v>215.2</v>
      </c>
      <c r="M104" s="60">
        <v>281.94</v>
      </c>
      <c r="N104" s="60">
        <f t="shared" si="2"/>
        <v>712.33999999999992</v>
      </c>
      <c r="O104" s="62">
        <v>10000</v>
      </c>
      <c r="P104" s="60">
        <f t="shared" si="3"/>
        <v>10712.34</v>
      </c>
      <c r="Q104" s="44" t="s">
        <v>57</v>
      </c>
      <c r="R104" s="63">
        <v>44960</v>
      </c>
      <c r="S104" s="63">
        <v>44998</v>
      </c>
      <c r="T104" s="63"/>
      <c r="U104" s="44"/>
      <c r="V104" s="64"/>
      <c r="W104" s="65">
        <v>45020</v>
      </c>
      <c r="X104" s="94">
        <v>44992</v>
      </c>
      <c r="Y104" s="66"/>
      <c r="Z104" s="44" t="s">
        <v>49</v>
      </c>
      <c r="AA104" s="44"/>
    </row>
    <row r="105" spans="1:27" s="67" customFormat="1">
      <c r="A105" s="44">
        <v>92</v>
      </c>
      <c r="B105" s="56" t="s">
        <v>308</v>
      </c>
      <c r="C105" s="44" t="s">
        <v>325</v>
      </c>
      <c r="D105" s="34" t="s">
        <v>326</v>
      </c>
      <c r="E105" s="68" t="s">
        <v>57</v>
      </c>
      <c r="F105" s="69">
        <v>15504003101812</v>
      </c>
      <c r="G105" s="59" t="s">
        <v>47</v>
      </c>
      <c r="H105" s="60">
        <v>2690</v>
      </c>
      <c r="I105" s="61">
        <v>64</v>
      </c>
      <c r="J105" s="44" t="s">
        <v>324</v>
      </c>
      <c r="K105" s="60">
        <v>215.2</v>
      </c>
      <c r="L105" s="60">
        <v>215.2</v>
      </c>
      <c r="M105" s="60">
        <v>281.94</v>
      </c>
      <c r="N105" s="60">
        <f t="shared" si="2"/>
        <v>712.33999999999992</v>
      </c>
      <c r="O105" s="62">
        <v>10000</v>
      </c>
      <c r="P105" s="60">
        <f t="shared" si="3"/>
        <v>10712.34</v>
      </c>
      <c r="Q105" s="44" t="s">
        <v>57</v>
      </c>
      <c r="R105" s="63">
        <v>44960</v>
      </c>
      <c r="S105" s="63">
        <v>44998</v>
      </c>
      <c r="T105" s="63"/>
      <c r="U105" s="44"/>
      <c r="V105" s="64"/>
      <c r="W105" s="65">
        <v>45020</v>
      </c>
      <c r="X105" s="94">
        <v>44992</v>
      </c>
      <c r="Y105" s="66"/>
      <c r="Z105" s="44" t="s">
        <v>49</v>
      </c>
      <c r="AA105" s="44"/>
    </row>
    <row r="106" spans="1:27" s="67" customFormat="1">
      <c r="A106" s="44">
        <v>93</v>
      </c>
      <c r="B106" s="56" t="s">
        <v>308</v>
      </c>
      <c r="C106" s="44" t="s">
        <v>327</v>
      </c>
      <c r="D106" s="34" t="s">
        <v>328</v>
      </c>
      <c r="E106" s="68" t="s">
        <v>57</v>
      </c>
      <c r="F106" s="69">
        <v>15504003101811</v>
      </c>
      <c r="G106" s="59" t="s">
        <v>47</v>
      </c>
      <c r="H106" s="60">
        <v>2690</v>
      </c>
      <c r="I106" s="61">
        <v>64</v>
      </c>
      <c r="J106" s="44" t="s">
        <v>324</v>
      </c>
      <c r="K106" s="60">
        <v>215.2</v>
      </c>
      <c r="L106" s="60">
        <v>215.2</v>
      </c>
      <c r="M106" s="60">
        <v>281.94</v>
      </c>
      <c r="N106" s="60">
        <f t="shared" si="2"/>
        <v>712.33999999999992</v>
      </c>
      <c r="O106" s="62">
        <v>10000</v>
      </c>
      <c r="P106" s="60">
        <f t="shared" si="3"/>
        <v>10712.34</v>
      </c>
      <c r="Q106" s="44" t="s">
        <v>57</v>
      </c>
      <c r="R106" s="63">
        <v>44960</v>
      </c>
      <c r="S106" s="63">
        <v>44998</v>
      </c>
      <c r="T106" s="63"/>
      <c r="U106" s="44"/>
      <c r="V106" s="64"/>
      <c r="W106" s="65">
        <v>45020</v>
      </c>
      <c r="X106" s="94">
        <v>44992</v>
      </c>
      <c r="Y106" s="66"/>
      <c r="Z106" s="44" t="s">
        <v>49</v>
      </c>
      <c r="AA106" s="44"/>
    </row>
    <row r="107" spans="1:27">
      <c r="A107" s="43">
        <v>94</v>
      </c>
      <c r="B107" s="33" t="s">
        <v>308</v>
      </c>
      <c r="C107" s="44" t="s">
        <v>329</v>
      </c>
      <c r="D107" s="32" t="s">
        <v>330</v>
      </c>
      <c r="E107" s="45" t="s">
        <v>57</v>
      </c>
      <c r="F107" s="46">
        <v>15504003100396</v>
      </c>
      <c r="G107" s="47" t="s">
        <v>47</v>
      </c>
      <c r="H107" s="48">
        <v>3570</v>
      </c>
      <c r="I107" s="49">
        <v>85</v>
      </c>
      <c r="J107" s="43" t="s">
        <v>169</v>
      </c>
      <c r="K107" s="48">
        <v>249.9</v>
      </c>
      <c r="L107" s="48">
        <v>249.9</v>
      </c>
      <c r="M107" s="48">
        <v>322.7</v>
      </c>
      <c r="N107" s="48">
        <f t="shared" si="2"/>
        <v>822.5</v>
      </c>
      <c r="O107" s="50">
        <v>10000</v>
      </c>
      <c r="P107" s="48">
        <f t="shared" si="3"/>
        <v>10822.5</v>
      </c>
      <c r="Q107" s="43" t="s">
        <v>57</v>
      </c>
      <c r="R107" s="51">
        <v>44960</v>
      </c>
      <c r="S107" s="51">
        <v>44998</v>
      </c>
      <c r="T107" s="51"/>
      <c r="U107" s="43"/>
      <c r="V107" s="52"/>
      <c r="W107" s="53">
        <v>45020</v>
      </c>
      <c r="X107" s="73">
        <v>44992</v>
      </c>
      <c r="Y107" s="54"/>
      <c r="Z107" s="43" t="s">
        <v>49</v>
      </c>
      <c r="AA107" s="43"/>
    </row>
    <row r="108" spans="1:27">
      <c r="A108" s="44">
        <v>95</v>
      </c>
      <c r="B108" s="33" t="s">
        <v>308</v>
      </c>
      <c r="C108" s="44" t="s">
        <v>331</v>
      </c>
      <c r="D108" s="32" t="s">
        <v>332</v>
      </c>
      <c r="E108" s="45" t="s">
        <v>57</v>
      </c>
      <c r="F108" s="46">
        <v>15504003100395</v>
      </c>
      <c r="G108" s="47" t="s">
        <v>47</v>
      </c>
      <c r="H108" s="48">
        <v>3490</v>
      </c>
      <c r="I108" s="49">
        <v>83</v>
      </c>
      <c r="J108" s="43" t="s">
        <v>169</v>
      </c>
      <c r="K108" s="48">
        <v>244.3</v>
      </c>
      <c r="L108" s="48">
        <v>244.3</v>
      </c>
      <c r="M108" s="48">
        <v>315.52</v>
      </c>
      <c r="N108" s="48">
        <f t="shared" si="2"/>
        <v>804.12</v>
      </c>
      <c r="O108" s="50">
        <v>10000</v>
      </c>
      <c r="P108" s="48">
        <f t="shared" si="3"/>
        <v>10804.12</v>
      </c>
      <c r="Q108" s="43" t="s">
        <v>57</v>
      </c>
      <c r="R108" s="51">
        <v>44960</v>
      </c>
      <c r="S108" s="51">
        <v>44998</v>
      </c>
      <c r="T108" s="51"/>
      <c r="U108" s="43"/>
      <c r="V108" s="52"/>
      <c r="W108" s="53">
        <v>45020</v>
      </c>
      <c r="X108" s="73">
        <v>44992</v>
      </c>
      <c r="Y108" s="54"/>
      <c r="Z108" s="43" t="s">
        <v>49</v>
      </c>
      <c r="AA108" s="43"/>
    </row>
    <row r="109" spans="1:27">
      <c r="A109" s="44">
        <v>96</v>
      </c>
      <c r="B109" s="33" t="s">
        <v>308</v>
      </c>
      <c r="C109" s="44" t="s">
        <v>333</v>
      </c>
      <c r="D109" s="43" t="s">
        <v>334</v>
      </c>
      <c r="E109" s="45" t="s">
        <v>57</v>
      </c>
      <c r="F109" s="46">
        <v>15504003100393</v>
      </c>
      <c r="G109" s="47" t="s">
        <v>47</v>
      </c>
      <c r="H109" s="48">
        <v>4910</v>
      </c>
      <c r="I109" s="49">
        <v>117</v>
      </c>
      <c r="J109" s="43" t="s">
        <v>169</v>
      </c>
      <c r="K109" s="48">
        <v>343.7</v>
      </c>
      <c r="L109" s="48">
        <v>343.7</v>
      </c>
      <c r="M109" s="48">
        <v>443.84</v>
      </c>
      <c r="N109" s="48">
        <f t="shared" si="2"/>
        <v>1131.24</v>
      </c>
      <c r="O109" s="50">
        <v>10000</v>
      </c>
      <c r="P109" s="48">
        <f t="shared" si="3"/>
        <v>11131.24</v>
      </c>
      <c r="Q109" s="43" t="s">
        <v>57</v>
      </c>
      <c r="R109" s="51">
        <v>44960</v>
      </c>
      <c r="S109" s="51">
        <v>44998</v>
      </c>
      <c r="T109" s="51"/>
      <c r="U109" s="43"/>
      <c r="V109" s="52"/>
      <c r="W109" s="53">
        <v>45020</v>
      </c>
      <c r="X109" s="73">
        <v>44992</v>
      </c>
      <c r="Y109" s="54"/>
      <c r="Z109" s="43" t="s">
        <v>49</v>
      </c>
      <c r="AA109" s="43"/>
    </row>
    <row r="110" spans="1:27">
      <c r="A110" s="43">
        <v>97</v>
      </c>
      <c r="B110" s="33" t="s">
        <v>308</v>
      </c>
      <c r="C110" s="44" t="s">
        <v>335</v>
      </c>
      <c r="D110" s="43" t="s">
        <v>336</v>
      </c>
      <c r="E110" s="45" t="s">
        <v>57</v>
      </c>
      <c r="F110" s="46">
        <v>15504003101846</v>
      </c>
      <c r="G110" s="47" t="s">
        <v>68</v>
      </c>
      <c r="H110" s="48">
        <v>4700</v>
      </c>
      <c r="I110" s="49">
        <v>112</v>
      </c>
      <c r="J110" s="43" t="s">
        <v>92</v>
      </c>
      <c r="K110" s="48">
        <v>282</v>
      </c>
      <c r="L110" s="48">
        <v>282</v>
      </c>
      <c r="M110" s="48">
        <v>357.2</v>
      </c>
      <c r="N110" s="48">
        <f t="shared" si="2"/>
        <v>921.2</v>
      </c>
      <c r="O110" s="50">
        <v>10000</v>
      </c>
      <c r="P110" s="48">
        <f t="shared" si="3"/>
        <v>10921.2</v>
      </c>
      <c r="Q110" s="43" t="s">
        <v>57</v>
      </c>
      <c r="R110" s="51">
        <v>44960</v>
      </c>
      <c r="S110" s="51">
        <v>44998</v>
      </c>
      <c r="T110" s="51"/>
      <c r="U110" s="43"/>
      <c r="V110" s="52"/>
      <c r="W110" s="53">
        <v>45020</v>
      </c>
      <c r="X110" s="73">
        <v>44992</v>
      </c>
      <c r="Y110" s="54"/>
      <c r="Z110" s="43" t="s">
        <v>49</v>
      </c>
      <c r="AA110" s="43"/>
    </row>
    <row r="111" spans="1:27" ht="25.5">
      <c r="A111" s="44">
        <v>98</v>
      </c>
      <c r="B111" s="33" t="s">
        <v>308</v>
      </c>
      <c r="C111" s="44" t="s">
        <v>337</v>
      </c>
      <c r="D111" s="43" t="s">
        <v>338</v>
      </c>
      <c r="E111" s="45" t="s">
        <v>57</v>
      </c>
      <c r="F111" s="46">
        <v>15504003101606</v>
      </c>
      <c r="G111" s="47" t="s">
        <v>339</v>
      </c>
      <c r="H111" s="48">
        <v>790</v>
      </c>
      <c r="I111" s="49">
        <v>1000</v>
      </c>
      <c r="J111" s="43" t="s">
        <v>199</v>
      </c>
      <c r="K111" s="48">
        <v>39.5</v>
      </c>
      <c r="L111" s="48">
        <v>39.5</v>
      </c>
      <c r="M111" s="48">
        <v>48.68</v>
      </c>
      <c r="N111" s="48">
        <f t="shared" si="2"/>
        <v>127.68</v>
      </c>
      <c r="O111" s="50">
        <v>10000</v>
      </c>
      <c r="P111" s="48">
        <f t="shared" si="3"/>
        <v>10127.68</v>
      </c>
      <c r="Q111" s="43" t="s">
        <v>57</v>
      </c>
      <c r="R111" s="51">
        <v>44960</v>
      </c>
      <c r="S111" s="51">
        <v>44998</v>
      </c>
      <c r="T111" s="51"/>
      <c r="U111" s="43"/>
      <c r="V111" s="52"/>
      <c r="W111" s="53">
        <v>45020</v>
      </c>
      <c r="X111" s="73">
        <v>44992</v>
      </c>
      <c r="Y111" s="54"/>
      <c r="Z111" s="43" t="s">
        <v>49</v>
      </c>
      <c r="AA111" s="43"/>
    </row>
    <row r="112" spans="1:27">
      <c r="A112" s="44">
        <v>99</v>
      </c>
      <c r="B112" s="33" t="s">
        <v>308</v>
      </c>
      <c r="C112" s="44" t="s">
        <v>340</v>
      </c>
      <c r="D112" s="43" t="s">
        <v>341</v>
      </c>
      <c r="E112" s="45" t="s">
        <v>57</v>
      </c>
      <c r="F112" s="46">
        <v>15504003101607</v>
      </c>
      <c r="G112" s="47" t="s">
        <v>248</v>
      </c>
      <c r="H112" s="48">
        <v>460</v>
      </c>
      <c r="I112" s="49">
        <v>586</v>
      </c>
      <c r="J112" s="43" t="s">
        <v>92</v>
      </c>
      <c r="K112" s="48">
        <v>27.6</v>
      </c>
      <c r="L112" s="48">
        <v>27.6</v>
      </c>
      <c r="M112" s="48">
        <v>34.94</v>
      </c>
      <c r="N112" s="48">
        <f t="shared" si="2"/>
        <v>90.14</v>
      </c>
      <c r="O112" s="50">
        <v>10000</v>
      </c>
      <c r="P112" s="48">
        <f t="shared" si="3"/>
        <v>10090.14</v>
      </c>
      <c r="Q112" s="43" t="s">
        <v>57</v>
      </c>
      <c r="R112" s="51">
        <v>44960</v>
      </c>
      <c r="S112" s="51">
        <v>44998</v>
      </c>
      <c r="T112" s="51"/>
      <c r="U112" s="43"/>
      <c r="V112" s="52"/>
      <c r="W112" s="53">
        <v>45020</v>
      </c>
      <c r="X112" s="73">
        <v>44992</v>
      </c>
      <c r="Y112" s="54"/>
      <c r="Z112" s="43" t="s">
        <v>49</v>
      </c>
      <c r="AA112" s="43"/>
    </row>
    <row r="113" spans="1:27">
      <c r="A113" s="43">
        <v>100</v>
      </c>
      <c r="B113" s="33" t="s">
        <v>308</v>
      </c>
      <c r="C113" s="44" t="s">
        <v>342</v>
      </c>
      <c r="D113" s="43" t="s">
        <v>343</v>
      </c>
      <c r="E113" s="45" t="s">
        <v>57</v>
      </c>
      <c r="F113" s="46">
        <v>15504003101853</v>
      </c>
      <c r="G113" s="47" t="s">
        <v>47</v>
      </c>
      <c r="H113" s="48">
        <v>50690</v>
      </c>
      <c r="I113" s="49">
        <v>1207</v>
      </c>
      <c r="J113" s="43" t="s">
        <v>315</v>
      </c>
      <c r="K113" s="48">
        <v>2027.6</v>
      </c>
      <c r="L113" s="48">
        <v>2027.6</v>
      </c>
      <c r="M113" s="48">
        <v>2392.58</v>
      </c>
      <c r="N113" s="48">
        <f t="shared" si="2"/>
        <v>6447.78</v>
      </c>
      <c r="O113" s="50">
        <v>10000</v>
      </c>
      <c r="P113" s="48">
        <f t="shared" si="3"/>
        <v>16447.78</v>
      </c>
      <c r="Q113" s="43" t="s">
        <v>57</v>
      </c>
      <c r="R113" s="51">
        <v>44960</v>
      </c>
      <c r="S113" s="51">
        <v>44998</v>
      </c>
      <c r="T113" s="51"/>
      <c r="U113" s="43"/>
      <c r="V113" s="52"/>
      <c r="W113" s="53">
        <v>45020</v>
      </c>
      <c r="X113" s="73">
        <v>44992</v>
      </c>
      <c r="Y113" s="54"/>
      <c r="Z113" s="43" t="s">
        <v>49</v>
      </c>
      <c r="AA113" s="43"/>
    </row>
    <row r="114" spans="1:27">
      <c r="A114" s="44">
        <v>101</v>
      </c>
      <c r="B114" s="33" t="s">
        <v>308</v>
      </c>
      <c r="C114" s="44" t="s">
        <v>344</v>
      </c>
      <c r="D114" s="43" t="s">
        <v>345</v>
      </c>
      <c r="E114" s="45" t="s">
        <v>57</v>
      </c>
      <c r="F114" s="46">
        <v>15504003101874</v>
      </c>
      <c r="G114" s="47" t="s">
        <v>47</v>
      </c>
      <c r="H114" s="48">
        <v>2690</v>
      </c>
      <c r="I114" s="49">
        <v>64</v>
      </c>
      <c r="J114" s="43" t="s">
        <v>315</v>
      </c>
      <c r="K114" s="48">
        <v>107.6</v>
      </c>
      <c r="L114" s="48">
        <v>107.6</v>
      </c>
      <c r="M114" s="48">
        <v>126.98</v>
      </c>
      <c r="N114" s="48">
        <f t="shared" si="2"/>
        <v>342.18</v>
      </c>
      <c r="O114" s="50">
        <v>10000</v>
      </c>
      <c r="P114" s="48">
        <f t="shared" si="3"/>
        <v>10342.18</v>
      </c>
      <c r="Q114" s="43" t="s">
        <v>57</v>
      </c>
      <c r="R114" s="51">
        <v>44960</v>
      </c>
      <c r="S114" s="51">
        <v>44998</v>
      </c>
      <c r="T114" s="51"/>
      <c r="U114" s="43"/>
      <c r="V114" s="52"/>
      <c r="W114" s="53">
        <v>45020</v>
      </c>
      <c r="X114" s="73">
        <v>44993</v>
      </c>
      <c r="Y114" s="54"/>
      <c r="Z114" s="43" t="s">
        <v>49</v>
      </c>
      <c r="AA114" s="43"/>
    </row>
    <row r="115" spans="1:27">
      <c r="A115" s="44">
        <v>102</v>
      </c>
      <c r="B115" s="33" t="s">
        <v>308</v>
      </c>
      <c r="C115" s="44" t="s">
        <v>346</v>
      </c>
      <c r="D115" s="43" t="s">
        <v>347</v>
      </c>
      <c r="E115" s="45" t="s">
        <v>57</v>
      </c>
      <c r="F115" s="46">
        <v>15504003101867</v>
      </c>
      <c r="G115" s="47" t="s">
        <v>47</v>
      </c>
      <c r="H115" s="48">
        <v>2690</v>
      </c>
      <c r="I115" s="49">
        <v>64</v>
      </c>
      <c r="J115" s="43" t="s">
        <v>315</v>
      </c>
      <c r="K115" s="48">
        <v>107.6</v>
      </c>
      <c r="L115" s="48">
        <v>107.6</v>
      </c>
      <c r="M115" s="48">
        <v>126.98</v>
      </c>
      <c r="N115" s="48">
        <f t="shared" si="2"/>
        <v>342.18</v>
      </c>
      <c r="O115" s="50">
        <v>10000</v>
      </c>
      <c r="P115" s="48">
        <f t="shared" si="3"/>
        <v>10342.18</v>
      </c>
      <c r="Q115" s="43" t="s">
        <v>57</v>
      </c>
      <c r="R115" s="51">
        <v>44960</v>
      </c>
      <c r="S115" s="51">
        <v>44998</v>
      </c>
      <c r="T115" s="51"/>
      <c r="U115" s="43"/>
      <c r="V115" s="52"/>
      <c r="W115" s="53">
        <v>45020</v>
      </c>
      <c r="X115" s="73">
        <v>44992</v>
      </c>
      <c r="Y115" s="54"/>
      <c r="Z115" s="43" t="s">
        <v>49</v>
      </c>
      <c r="AA115" s="43"/>
    </row>
    <row r="116" spans="1:27">
      <c r="A116" s="43">
        <v>103</v>
      </c>
      <c r="B116" s="33" t="s">
        <v>308</v>
      </c>
      <c r="C116" s="44" t="s">
        <v>348</v>
      </c>
      <c r="D116" s="43" t="s">
        <v>349</v>
      </c>
      <c r="E116" s="45" t="s">
        <v>57</v>
      </c>
      <c r="F116" s="46">
        <v>15504003101868</v>
      </c>
      <c r="G116" s="47" t="s">
        <v>47</v>
      </c>
      <c r="H116" s="48">
        <v>0</v>
      </c>
      <c r="I116" s="49">
        <v>63</v>
      </c>
      <c r="J116" s="43" t="s">
        <v>315</v>
      </c>
      <c r="K116" s="48">
        <v>106</v>
      </c>
      <c r="L116" s="48">
        <v>106</v>
      </c>
      <c r="M116" s="48">
        <v>125.08</v>
      </c>
      <c r="N116" s="48">
        <f t="shared" si="2"/>
        <v>337.08</v>
      </c>
      <c r="O116" s="50">
        <v>10000</v>
      </c>
      <c r="P116" s="48">
        <f t="shared" si="3"/>
        <v>10337.08</v>
      </c>
      <c r="Q116" s="43" t="s">
        <v>57</v>
      </c>
      <c r="R116" s="51">
        <v>44960</v>
      </c>
      <c r="S116" s="51">
        <v>44998</v>
      </c>
      <c r="T116" s="51"/>
      <c r="U116" s="43"/>
      <c r="V116" s="52"/>
      <c r="W116" s="53">
        <v>45020</v>
      </c>
      <c r="X116" s="73">
        <v>44992</v>
      </c>
      <c r="Y116" s="54"/>
      <c r="Z116" s="43" t="s">
        <v>49</v>
      </c>
      <c r="AA116" s="43"/>
    </row>
    <row r="117" spans="1:27">
      <c r="A117" s="44">
        <v>104</v>
      </c>
      <c r="B117" s="33" t="s">
        <v>308</v>
      </c>
      <c r="C117" s="44" t="s">
        <v>350</v>
      </c>
      <c r="D117" s="43" t="s">
        <v>351</v>
      </c>
      <c r="E117" s="45" t="s">
        <v>57</v>
      </c>
      <c r="F117" s="46">
        <v>15504003101879</v>
      </c>
      <c r="G117" s="47" t="s">
        <v>47</v>
      </c>
      <c r="H117" s="48">
        <v>2600</v>
      </c>
      <c r="I117" s="49">
        <v>62</v>
      </c>
      <c r="J117" s="43" t="s">
        <v>315</v>
      </c>
      <c r="K117" s="48">
        <v>104</v>
      </c>
      <c r="L117" s="48">
        <v>104</v>
      </c>
      <c r="M117" s="48">
        <v>122.72</v>
      </c>
      <c r="N117" s="48">
        <f t="shared" si="2"/>
        <v>330.72</v>
      </c>
      <c r="O117" s="50">
        <v>10000</v>
      </c>
      <c r="P117" s="48">
        <f t="shared" si="3"/>
        <v>10330.719999999999</v>
      </c>
      <c r="Q117" s="43" t="s">
        <v>57</v>
      </c>
      <c r="R117" s="51">
        <v>44960</v>
      </c>
      <c r="S117" s="51">
        <v>44998</v>
      </c>
      <c r="T117" s="51"/>
      <c r="U117" s="43"/>
      <c r="V117" s="52"/>
      <c r="W117" s="53">
        <v>45020</v>
      </c>
      <c r="X117" s="73">
        <v>44992</v>
      </c>
      <c r="Y117" s="54"/>
      <c r="Z117" s="43" t="s">
        <v>49</v>
      </c>
      <c r="AA117" s="43"/>
    </row>
    <row r="118" spans="1:27">
      <c r="A118" s="44">
        <v>105</v>
      </c>
      <c r="B118" s="33" t="s">
        <v>308</v>
      </c>
      <c r="C118" s="44" t="s">
        <v>352</v>
      </c>
      <c r="D118" s="43" t="s">
        <v>353</v>
      </c>
      <c r="E118" s="45" t="s">
        <v>57</v>
      </c>
      <c r="F118" s="46">
        <v>15504003101835</v>
      </c>
      <c r="G118" s="47" t="s">
        <v>47</v>
      </c>
      <c r="H118" s="48">
        <v>4200</v>
      </c>
      <c r="I118" s="49">
        <v>100</v>
      </c>
      <c r="J118" s="43" t="s">
        <v>169</v>
      </c>
      <c r="K118" s="48">
        <v>294</v>
      </c>
      <c r="L118" s="48">
        <v>294</v>
      </c>
      <c r="M118" s="48">
        <v>379.68</v>
      </c>
      <c r="N118" s="48">
        <f t="shared" si="2"/>
        <v>967.68000000000006</v>
      </c>
      <c r="O118" s="50">
        <v>10000</v>
      </c>
      <c r="P118" s="48">
        <f t="shared" si="3"/>
        <v>10967.68</v>
      </c>
      <c r="Q118" s="43" t="s">
        <v>57</v>
      </c>
      <c r="R118" s="51">
        <v>44960</v>
      </c>
      <c r="S118" s="51">
        <v>44998</v>
      </c>
      <c r="T118" s="51"/>
      <c r="U118" s="43"/>
      <c r="V118" s="52"/>
      <c r="W118" s="53">
        <v>45027</v>
      </c>
      <c r="X118" s="73">
        <v>44992</v>
      </c>
      <c r="Y118" s="54" t="s">
        <v>93</v>
      </c>
      <c r="Z118" s="51">
        <v>45065</v>
      </c>
      <c r="AA118" s="43"/>
    </row>
    <row r="119" spans="1:27">
      <c r="A119" s="43">
        <v>106</v>
      </c>
      <c r="B119" s="33" t="s">
        <v>308</v>
      </c>
      <c r="C119" s="44" t="s">
        <v>354</v>
      </c>
      <c r="D119" s="43" t="s">
        <v>355</v>
      </c>
      <c r="E119" s="45" t="s">
        <v>57</v>
      </c>
      <c r="F119" s="46">
        <v>15504003101837</v>
      </c>
      <c r="G119" s="47" t="s">
        <v>47</v>
      </c>
      <c r="H119" s="48">
        <v>4200</v>
      </c>
      <c r="I119" s="49">
        <v>100</v>
      </c>
      <c r="J119" s="43" t="s">
        <v>169</v>
      </c>
      <c r="K119" s="48">
        <v>294</v>
      </c>
      <c r="L119" s="48">
        <v>294</v>
      </c>
      <c r="M119" s="48">
        <v>379.68</v>
      </c>
      <c r="N119" s="48">
        <f t="shared" si="2"/>
        <v>967.68000000000006</v>
      </c>
      <c r="O119" s="50">
        <v>10000</v>
      </c>
      <c r="P119" s="48">
        <f t="shared" si="3"/>
        <v>10967.68</v>
      </c>
      <c r="Q119" s="43" t="s">
        <v>57</v>
      </c>
      <c r="R119" s="51">
        <v>44960</v>
      </c>
      <c r="S119" s="51">
        <v>44998</v>
      </c>
      <c r="T119" s="51"/>
      <c r="U119" s="43"/>
      <c r="V119" s="52"/>
      <c r="W119" s="53">
        <v>45027</v>
      </c>
      <c r="X119" s="73">
        <v>44992</v>
      </c>
      <c r="Y119" s="54" t="s">
        <v>93</v>
      </c>
      <c r="Z119" s="51">
        <v>45065</v>
      </c>
      <c r="AA119" s="43"/>
    </row>
    <row r="120" spans="1:27">
      <c r="A120" s="44">
        <v>107</v>
      </c>
      <c r="B120" s="33" t="s">
        <v>308</v>
      </c>
      <c r="C120" s="44" t="s">
        <v>356</v>
      </c>
      <c r="D120" s="43" t="s">
        <v>357</v>
      </c>
      <c r="E120" s="45" t="s">
        <v>57</v>
      </c>
      <c r="F120" s="46">
        <v>15504003101836</v>
      </c>
      <c r="G120" s="47" t="s">
        <v>47</v>
      </c>
      <c r="H120" s="48">
        <v>4200</v>
      </c>
      <c r="I120" s="49">
        <v>100</v>
      </c>
      <c r="J120" s="43" t="s">
        <v>169</v>
      </c>
      <c r="K120" s="48">
        <v>294</v>
      </c>
      <c r="L120" s="48">
        <v>294</v>
      </c>
      <c r="M120" s="48">
        <v>379.68</v>
      </c>
      <c r="N120" s="48">
        <f t="shared" si="2"/>
        <v>967.68000000000006</v>
      </c>
      <c r="O120" s="50">
        <v>10000</v>
      </c>
      <c r="P120" s="48">
        <f t="shared" si="3"/>
        <v>10967.68</v>
      </c>
      <c r="Q120" s="43" t="s">
        <v>57</v>
      </c>
      <c r="R120" s="51">
        <v>44960</v>
      </c>
      <c r="S120" s="51">
        <v>44998</v>
      </c>
      <c r="T120" s="51"/>
      <c r="U120" s="43"/>
      <c r="V120" s="52"/>
      <c r="W120" s="53">
        <v>45027</v>
      </c>
      <c r="X120" s="73">
        <v>44992</v>
      </c>
      <c r="Y120" s="54" t="s">
        <v>93</v>
      </c>
      <c r="Z120" s="51">
        <v>45065</v>
      </c>
      <c r="AA120" s="43"/>
    </row>
    <row r="121" spans="1:27">
      <c r="A121" s="44">
        <v>108</v>
      </c>
      <c r="B121" s="33" t="s">
        <v>308</v>
      </c>
      <c r="C121" s="44" t="s">
        <v>358</v>
      </c>
      <c r="D121" s="43" t="s">
        <v>359</v>
      </c>
      <c r="E121" s="45" t="s">
        <v>57</v>
      </c>
      <c r="F121" s="46">
        <v>15504003101832</v>
      </c>
      <c r="G121" s="47" t="s">
        <v>47</v>
      </c>
      <c r="H121" s="48">
        <v>4200</v>
      </c>
      <c r="I121" s="49">
        <v>100</v>
      </c>
      <c r="J121" s="43" t="s">
        <v>169</v>
      </c>
      <c r="K121" s="48">
        <v>294</v>
      </c>
      <c r="L121" s="48">
        <v>294</v>
      </c>
      <c r="M121" s="48">
        <v>379.68</v>
      </c>
      <c r="N121" s="48">
        <f t="shared" si="2"/>
        <v>967.68000000000006</v>
      </c>
      <c r="O121" s="50">
        <v>10000</v>
      </c>
      <c r="P121" s="48">
        <f t="shared" si="3"/>
        <v>10967.68</v>
      </c>
      <c r="Q121" s="43" t="s">
        <v>57</v>
      </c>
      <c r="R121" s="51">
        <v>44960</v>
      </c>
      <c r="S121" s="51">
        <v>44998</v>
      </c>
      <c r="T121" s="51"/>
      <c r="U121" s="43"/>
      <c r="V121" s="52"/>
      <c r="W121" s="53">
        <v>45029</v>
      </c>
      <c r="X121" s="73">
        <v>44992</v>
      </c>
      <c r="Y121" s="54" t="s">
        <v>93</v>
      </c>
      <c r="Z121" s="51">
        <v>45065</v>
      </c>
      <c r="AA121" s="43"/>
    </row>
    <row r="122" spans="1:27">
      <c r="A122" s="43">
        <v>109</v>
      </c>
      <c r="B122" s="33" t="s">
        <v>308</v>
      </c>
      <c r="C122" s="44" t="s">
        <v>360</v>
      </c>
      <c r="D122" s="43" t="s">
        <v>361</v>
      </c>
      <c r="E122" s="45" t="s">
        <v>57</v>
      </c>
      <c r="F122" s="46">
        <v>15504003101842</v>
      </c>
      <c r="G122" s="47" t="s">
        <v>47</v>
      </c>
      <c r="H122" s="48">
        <v>2690</v>
      </c>
      <c r="I122" s="49">
        <v>64</v>
      </c>
      <c r="J122" s="43" t="s">
        <v>315</v>
      </c>
      <c r="K122" s="48">
        <v>107.6</v>
      </c>
      <c r="L122" s="48">
        <v>107.6</v>
      </c>
      <c r="M122" s="48">
        <v>126.98</v>
      </c>
      <c r="N122" s="48">
        <f t="shared" si="2"/>
        <v>342.18</v>
      </c>
      <c r="O122" s="50">
        <v>10000</v>
      </c>
      <c r="P122" s="48">
        <f t="shared" si="3"/>
        <v>10342.18</v>
      </c>
      <c r="Q122" s="43" t="s">
        <v>57</v>
      </c>
      <c r="R122" s="51">
        <v>44960</v>
      </c>
      <c r="S122" s="51">
        <v>44998</v>
      </c>
      <c r="T122" s="51"/>
      <c r="U122" s="43"/>
      <c r="V122" s="52"/>
      <c r="W122" s="53">
        <v>45027</v>
      </c>
      <c r="X122" s="73">
        <v>44992</v>
      </c>
      <c r="Y122" s="54" t="s">
        <v>93</v>
      </c>
      <c r="Z122" s="51">
        <v>45065</v>
      </c>
      <c r="AA122" s="43"/>
    </row>
    <row r="123" spans="1:27">
      <c r="A123" s="44">
        <v>110</v>
      </c>
      <c r="B123" s="33" t="s">
        <v>308</v>
      </c>
      <c r="C123" s="44" t="s">
        <v>362</v>
      </c>
      <c r="D123" s="43" t="s">
        <v>363</v>
      </c>
      <c r="E123" s="45" t="s">
        <v>57</v>
      </c>
      <c r="F123" s="46">
        <v>15504003101881</v>
      </c>
      <c r="G123" s="47" t="s">
        <v>47</v>
      </c>
      <c r="H123" s="48">
        <v>2600</v>
      </c>
      <c r="I123" s="49">
        <v>62</v>
      </c>
      <c r="J123" s="43" t="s">
        <v>315</v>
      </c>
      <c r="K123" s="48">
        <v>104</v>
      </c>
      <c r="L123" s="48">
        <v>104</v>
      </c>
      <c r="M123" s="48">
        <v>122.72</v>
      </c>
      <c r="N123" s="48">
        <f t="shared" si="2"/>
        <v>330.72</v>
      </c>
      <c r="O123" s="50">
        <v>10000</v>
      </c>
      <c r="P123" s="48">
        <f t="shared" si="3"/>
        <v>10330.719999999999</v>
      </c>
      <c r="Q123" s="43" t="s">
        <v>57</v>
      </c>
      <c r="R123" s="51">
        <v>44960</v>
      </c>
      <c r="S123" s="51">
        <v>44998</v>
      </c>
      <c r="T123" s="51"/>
      <c r="U123" s="43"/>
      <c r="V123" s="52"/>
      <c r="W123" s="53">
        <v>45027</v>
      </c>
      <c r="X123" s="73">
        <v>44992</v>
      </c>
      <c r="Y123" s="54" t="s">
        <v>93</v>
      </c>
      <c r="Z123" s="51">
        <v>45065</v>
      </c>
      <c r="AA123" s="43"/>
    </row>
    <row r="124" spans="1:27">
      <c r="A124" s="44">
        <v>111</v>
      </c>
      <c r="B124" s="33" t="s">
        <v>364</v>
      </c>
      <c r="C124" s="44" t="s">
        <v>365</v>
      </c>
      <c r="D124" s="43" t="s">
        <v>366</v>
      </c>
      <c r="E124" s="45" t="s">
        <v>307</v>
      </c>
      <c r="F124" s="46">
        <v>15504006600865</v>
      </c>
      <c r="G124" s="43" t="s">
        <v>367</v>
      </c>
      <c r="H124" s="48">
        <v>54370</v>
      </c>
      <c r="I124" s="49">
        <v>663</v>
      </c>
      <c r="J124" s="43" t="s">
        <v>74</v>
      </c>
      <c r="K124" s="48">
        <v>5980.7</v>
      </c>
      <c r="L124" s="48">
        <v>5980.7</v>
      </c>
      <c r="M124" s="48">
        <v>8046.7</v>
      </c>
      <c r="N124" s="48">
        <f t="shared" si="2"/>
        <v>20008.099999999999</v>
      </c>
      <c r="O124" s="50">
        <v>10000</v>
      </c>
      <c r="P124" s="48">
        <f t="shared" si="3"/>
        <v>30008.1</v>
      </c>
      <c r="Q124" s="43" t="s">
        <v>307</v>
      </c>
      <c r="R124" s="51">
        <v>44971</v>
      </c>
      <c r="S124" s="51">
        <v>44879</v>
      </c>
      <c r="T124" s="51">
        <v>45000</v>
      </c>
      <c r="U124" s="43"/>
      <c r="V124" s="52"/>
      <c r="W124" s="53">
        <v>45016</v>
      </c>
      <c r="X124" s="54"/>
      <c r="Y124" s="54"/>
      <c r="Z124" s="43" t="s">
        <v>54</v>
      </c>
      <c r="AA124" s="51">
        <v>45061</v>
      </c>
    </row>
    <row r="125" spans="1:27" ht="25.5">
      <c r="A125" s="43">
        <v>112</v>
      </c>
      <c r="B125" s="33" t="s">
        <v>368</v>
      </c>
      <c r="C125" s="44" t="s">
        <v>369</v>
      </c>
      <c r="D125" s="43" t="s">
        <v>370</v>
      </c>
      <c r="E125" s="45" t="s">
        <v>57</v>
      </c>
      <c r="F125" s="46">
        <v>15504003100608</v>
      </c>
      <c r="G125" s="47" t="s">
        <v>68</v>
      </c>
      <c r="H125" s="48">
        <v>33010</v>
      </c>
      <c r="I125" s="49">
        <v>786</v>
      </c>
      <c r="J125" s="43" t="s">
        <v>315</v>
      </c>
      <c r="K125" s="48">
        <v>1320.4</v>
      </c>
      <c r="L125" s="48">
        <v>1320.4</v>
      </c>
      <c r="M125" s="48">
        <v>1558.06</v>
      </c>
      <c r="N125" s="48">
        <f t="shared" si="2"/>
        <v>4198.8600000000006</v>
      </c>
      <c r="O125" s="50">
        <v>10000</v>
      </c>
      <c r="P125" s="48">
        <f t="shared" si="3"/>
        <v>14198.86</v>
      </c>
      <c r="Q125" s="43" t="s">
        <v>57</v>
      </c>
      <c r="R125" s="51">
        <v>44960</v>
      </c>
      <c r="S125" s="51">
        <v>44998</v>
      </c>
      <c r="T125" s="51"/>
      <c r="U125" s="43"/>
      <c r="V125" s="52"/>
      <c r="W125" s="53">
        <v>45020</v>
      </c>
      <c r="X125" s="73">
        <v>44992</v>
      </c>
      <c r="Y125" s="54"/>
      <c r="Z125" s="43" t="s">
        <v>49</v>
      </c>
      <c r="AA125" s="43"/>
    </row>
    <row r="126" spans="1:27" s="67" customFormat="1">
      <c r="A126" s="44">
        <v>113</v>
      </c>
      <c r="B126" s="56" t="s">
        <v>371</v>
      </c>
      <c r="C126" s="44" t="s">
        <v>372</v>
      </c>
      <c r="D126" s="44" t="s">
        <v>373</v>
      </c>
      <c r="E126" s="68" t="s">
        <v>57</v>
      </c>
      <c r="F126" s="69">
        <v>15504003101407</v>
      </c>
      <c r="G126" s="92" t="s">
        <v>374</v>
      </c>
      <c r="H126" s="60">
        <v>820</v>
      </c>
      <c r="I126" s="61">
        <v>980</v>
      </c>
      <c r="J126" s="44" t="s">
        <v>128</v>
      </c>
      <c r="K126" s="60">
        <v>98.4</v>
      </c>
      <c r="L126" s="60">
        <v>98.4</v>
      </c>
      <c r="M126" s="60">
        <v>133.1</v>
      </c>
      <c r="N126" s="60">
        <f t="shared" si="2"/>
        <v>329.9</v>
      </c>
      <c r="O126" s="62">
        <v>10000</v>
      </c>
      <c r="P126" s="60">
        <f t="shared" si="3"/>
        <v>10329.9</v>
      </c>
      <c r="Q126" s="44" t="s">
        <v>57</v>
      </c>
      <c r="R126" s="63">
        <v>44960</v>
      </c>
      <c r="S126" s="63">
        <v>44998</v>
      </c>
      <c r="T126" s="63"/>
      <c r="U126" s="44"/>
      <c r="V126" s="64"/>
      <c r="W126" s="65">
        <v>45020</v>
      </c>
      <c r="X126" s="94">
        <v>44992</v>
      </c>
      <c r="Y126" s="66"/>
      <c r="Z126" s="44" t="s">
        <v>49</v>
      </c>
      <c r="AA126" s="44"/>
    </row>
    <row r="127" spans="1:27">
      <c r="A127" s="44">
        <v>114</v>
      </c>
      <c r="B127" s="33" t="s">
        <v>375</v>
      </c>
      <c r="C127" s="44" t="s">
        <v>376</v>
      </c>
      <c r="D127" s="43" t="s">
        <v>377</v>
      </c>
      <c r="E127" s="45" t="s">
        <v>57</v>
      </c>
      <c r="F127" s="46">
        <v>15504003101422</v>
      </c>
      <c r="G127" s="47" t="s">
        <v>68</v>
      </c>
      <c r="H127" s="48">
        <v>17220</v>
      </c>
      <c r="I127" s="49">
        <v>410</v>
      </c>
      <c r="J127" s="43" t="s">
        <v>169</v>
      </c>
      <c r="K127" s="48">
        <v>1205.4000000000001</v>
      </c>
      <c r="L127" s="48">
        <v>1205.4000000000001</v>
      </c>
      <c r="M127" s="48">
        <v>1556.66</v>
      </c>
      <c r="N127" s="48">
        <f t="shared" si="2"/>
        <v>3967.46</v>
      </c>
      <c r="O127" s="50">
        <v>10000</v>
      </c>
      <c r="P127" s="48">
        <f t="shared" si="3"/>
        <v>13967.46</v>
      </c>
      <c r="Q127" s="43" t="s">
        <v>57</v>
      </c>
      <c r="R127" s="51">
        <v>44960</v>
      </c>
      <c r="S127" s="51">
        <v>44998</v>
      </c>
      <c r="T127" s="51"/>
      <c r="U127" s="43"/>
      <c r="V127" s="52"/>
      <c r="W127" s="53">
        <v>45020</v>
      </c>
      <c r="X127" s="73">
        <v>44992</v>
      </c>
      <c r="Y127" s="54"/>
      <c r="Z127" s="43" t="s">
        <v>49</v>
      </c>
      <c r="AA127" s="43"/>
    </row>
    <row r="128" spans="1:27">
      <c r="A128" s="43">
        <v>115</v>
      </c>
      <c r="B128" s="33" t="s">
        <v>378</v>
      </c>
      <c r="C128" s="44" t="s">
        <v>379</v>
      </c>
      <c r="D128" s="43"/>
      <c r="E128" s="45" t="s">
        <v>380</v>
      </c>
      <c r="F128" s="46">
        <v>15504000300107</v>
      </c>
      <c r="G128" s="47" t="s">
        <v>381</v>
      </c>
      <c r="H128" s="48">
        <v>175000</v>
      </c>
      <c r="I128" s="49">
        <v>133</v>
      </c>
      <c r="J128" s="43" t="s">
        <v>92</v>
      </c>
      <c r="K128" s="48">
        <v>15750</v>
      </c>
      <c r="L128" s="48">
        <v>10500</v>
      </c>
      <c r="M128" s="48">
        <v>16625</v>
      </c>
      <c r="N128" s="48">
        <f t="shared" si="2"/>
        <v>42875</v>
      </c>
      <c r="O128" s="50">
        <v>10000</v>
      </c>
      <c r="P128" s="48">
        <f t="shared" si="3"/>
        <v>52875</v>
      </c>
      <c r="Q128" s="43" t="s">
        <v>380</v>
      </c>
      <c r="R128" s="51">
        <v>45000</v>
      </c>
      <c r="S128" s="51">
        <v>44879</v>
      </c>
      <c r="T128" s="51"/>
      <c r="U128" s="43"/>
      <c r="V128" s="52"/>
      <c r="W128" s="53">
        <v>45041</v>
      </c>
      <c r="X128" s="54"/>
      <c r="Y128" s="54" t="s">
        <v>49</v>
      </c>
      <c r="Z128" s="51">
        <v>45061</v>
      </c>
      <c r="AA128" s="43"/>
    </row>
    <row r="129" spans="1:27">
      <c r="A129" s="44">
        <v>116</v>
      </c>
      <c r="B129" s="33" t="s">
        <v>382</v>
      </c>
      <c r="C129" s="44" t="s">
        <v>383</v>
      </c>
      <c r="D129" s="43">
        <v>18889</v>
      </c>
      <c r="E129" s="45" t="s">
        <v>165</v>
      </c>
      <c r="F129" s="46">
        <v>16504002901708</v>
      </c>
      <c r="G129" s="43" t="s">
        <v>47</v>
      </c>
      <c r="H129" s="48">
        <v>12600</v>
      </c>
      <c r="I129" s="43">
        <v>300</v>
      </c>
      <c r="J129" s="43" t="s">
        <v>199</v>
      </c>
      <c r="K129" s="48">
        <v>630</v>
      </c>
      <c r="L129" s="48">
        <v>630</v>
      </c>
      <c r="M129" s="48">
        <v>776.16</v>
      </c>
      <c r="N129" s="48">
        <f t="shared" si="2"/>
        <v>2036.1599999999999</v>
      </c>
      <c r="O129" s="50">
        <v>10000</v>
      </c>
      <c r="P129" s="48">
        <f t="shared" si="3"/>
        <v>12036.16</v>
      </c>
      <c r="Q129" s="43" t="s">
        <v>165</v>
      </c>
      <c r="R129" s="51">
        <v>44959</v>
      </c>
      <c r="S129" s="51">
        <v>45007</v>
      </c>
      <c r="T129" s="43"/>
      <c r="U129" s="43"/>
      <c r="V129" s="52"/>
      <c r="W129" s="53">
        <v>45036</v>
      </c>
      <c r="X129" s="73">
        <v>44993</v>
      </c>
      <c r="Y129" s="54" t="s">
        <v>54</v>
      </c>
      <c r="Z129" s="43"/>
      <c r="AA129" s="43"/>
    </row>
    <row r="130" spans="1:27" s="67" customFormat="1">
      <c r="A130" s="44">
        <v>117</v>
      </c>
      <c r="B130" s="56" t="s">
        <v>384</v>
      </c>
      <c r="C130" s="44" t="s">
        <v>385</v>
      </c>
      <c r="D130" s="70" t="s">
        <v>386</v>
      </c>
      <c r="E130" s="68" t="s">
        <v>165</v>
      </c>
      <c r="F130" s="69">
        <v>15504002901707</v>
      </c>
      <c r="G130" s="44" t="s">
        <v>109</v>
      </c>
      <c r="H130" s="60">
        <v>4370</v>
      </c>
      <c r="I130" s="44">
        <v>104</v>
      </c>
      <c r="J130" s="44" t="s">
        <v>37</v>
      </c>
      <c r="K130" s="60">
        <v>830.3</v>
      </c>
      <c r="L130" s="60">
        <v>830.3</v>
      </c>
      <c r="M130" s="60">
        <v>1150.06</v>
      </c>
      <c r="N130" s="60">
        <f t="shared" si="2"/>
        <v>2810.66</v>
      </c>
      <c r="O130" s="62">
        <v>10000</v>
      </c>
      <c r="P130" s="60">
        <f t="shared" si="3"/>
        <v>12810.66</v>
      </c>
      <c r="Q130" s="44" t="s">
        <v>165</v>
      </c>
      <c r="R130" s="63">
        <v>44959</v>
      </c>
      <c r="S130" s="63">
        <v>45007</v>
      </c>
      <c r="T130" s="44"/>
      <c r="U130" s="44"/>
      <c r="V130" s="64"/>
      <c r="W130" s="65">
        <v>45036</v>
      </c>
      <c r="X130" s="94">
        <v>44993</v>
      </c>
      <c r="Y130" s="66" t="s">
        <v>54</v>
      </c>
      <c r="Z130" s="44"/>
      <c r="AA130" s="44"/>
    </row>
    <row r="131" spans="1:27">
      <c r="A131" s="43">
        <v>118</v>
      </c>
      <c r="B131" s="33" t="s">
        <v>387</v>
      </c>
      <c r="C131" s="44" t="s">
        <v>388</v>
      </c>
      <c r="D131" s="43" t="s">
        <v>389</v>
      </c>
      <c r="E131" s="81" t="s">
        <v>222</v>
      </c>
      <c r="F131" s="46">
        <v>15504004800309</v>
      </c>
      <c r="G131" s="47" t="s">
        <v>47</v>
      </c>
      <c r="H131" s="48">
        <v>6860</v>
      </c>
      <c r="I131" s="49">
        <v>245</v>
      </c>
      <c r="J131" s="43" t="s">
        <v>37</v>
      </c>
      <c r="K131" s="48">
        <v>1303.4000000000001</v>
      </c>
      <c r="L131" s="48">
        <v>1303.4000000000001</v>
      </c>
      <c r="M131" s="48">
        <v>1805.48</v>
      </c>
      <c r="N131" s="48">
        <f t="shared" si="2"/>
        <v>4412.2800000000007</v>
      </c>
      <c r="O131" s="50">
        <v>10000</v>
      </c>
      <c r="P131" s="48">
        <f t="shared" si="3"/>
        <v>14412.28</v>
      </c>
      <c r="Q131" s="43" t="s">
        <v>222</v>
      </c>
      <c r="R131" s="51">
        <v>44987</v>
      </c>
      <c r="S131" s="51">
        <v>45013</v>
      </c>
      <c r="T131" s="43"/>
      <c r="U131" s="43"/>
      <c r="V131" s="52"/>
      <c r="W131" s="53"/>
      <c r="X131" s="54"/>
      <c r="Y131" s="54" t="s">
        <v>54</v>
      </c>
      <c r="Z131" s="43"/>
      <c r="AA131" s="43"/>
    </row>
    <row r="132" spans="1:27">
      <c r="A132" s="44">
        <v>119</v>
      </c>
      <c r="B132" s="33" t="s">
        <v>390</v>
      </c>
      <c r="C132" s="44" t="s">
        <v>391</v>
      </c>
      <c r="D132" s="43">
        <v>40071</v>
      </c>
      <c r="E132" s="81" t="s">
        <v>222</v>
      </c>
      <c r="F132" s="46">
        <v>1550302002100</v>
      </c>
      <c r="G132" s="47" t="s">
        <v>47</v>
      </c>
      <c r="H132" s="48">
        <v>25930</v>
      </c>
      <c r="I132" s="49">
        <v>926</v>
      </c>
      <c r="J132" s="43" t="s">
        <v>273</v>
      </c>
      <c r="K132" s="48">
        <v>2333.6999999999998</v>
      </c>
      <c r="L132" s="48">
        <v>2333.6999999999998</v>
      </c>
      <c r="M132" s="48">
        <v>3090.9</v>
      </c>
      <c r="N132" s="48">
        <f t="shared" si="2"/>
        <v>7758.2999999999993</v>
      </c>
      <c r="O132" s="50">
        <v>10000</v>
      </c>
      <c r="P132" s="48">
        <f t="shared" si="3"/>
        <v>17758.3</v>
      </c>
      <c r="Q132" s="43" t="s">
        <v>222</v>
      </c>
      <c r="R132" s="51">
        <v>44987</v>
      </c>
      <c r="S132" s="51">
        <v>45009</v>
      </c>
      <c r="T132" s="43"/>
      <c r="U132" s="43"/>
      <c r="V132" s="52"/>
      <c r="W132" s="53">
        <v>45030</v>
      </c>
      <c r="X132" s="54"/>
      <c r="Y132" s="54"/>
      <c r="Z132" s="43" t="s">
        <v>54</v>
      </c>
      <c r="AA132" s="51">
        <v>45058</v>
      </c>
    </row>
    <row r="133" spans="1:27" s="67" customFormat="1">
      <c r="A133" s="44">
        <v>120</v>
      </c>
      <c r="B133" s="56" t="s">
        <v>392</v>
      </c>
      <c r="C133" s="44" t="s">
        <v>393</v>
      </c>
      <c r="D133" s="44" t="s">
        <v>394</v>
      </c>
      <c r="E133" s="68" t="s">
        <v>240</v>
      </c>
      <c r="F133" s="69">
        <v>15504003000637</v>
      </c>
      <c r="G133" s="59" t="s">
        <v>47</v>
      </c>
      <c r="H133" s="60">
        <v>13770</v>
      </c>
      <c r="I133" s="61">
        <v>153</v>
      </c>
      <c r="J133" s="44" t="s">
        <v>37</v>
      </c>
      <c r="K133" s="60">
        <v>2616.3000000000002</v>
      </c>
      <c r="L133" s="60">
        <v>2616.3000000000002</v>
      </c>
      <c r="M133" s="60">
        <v>3624.14</v>
      </c>
      <c r="N133" s="60">
        <f t="shared" si="2"/>
        <v>8856.74</v>
      </c>
      <c r="O133" s="62">
        <v>10000</v>
      </c>
      <c r="P133" s="60">
        <f t="shared" si="3"/>
        <v>18856.739999999998</v>
      </c>
      <c r="Q133" s="44" t="s">
        <v>240</v>
      </c>
      <c r="R133" s="63">
        <v>44963</v>
      </c>
      <c r="S133" s="63">
        <v>44998</v>
      </c>
      <c r="T133" s="63"/>
      <c r="U133" s="44"/>
      <c r="V133" s="64"/>
      <c r="W133" s="65">
        <v>45019</v>
      </c>
      <c r="X133" s="94">
        <v>44988</v>
      </c>
      <c r="Y133" s="66"/>
      <c r="Z133" s="44" t="s">
        <v>54</v>
      </c>
      <c r="AA133" s="44"/>
    </row>
    <row r="134" spans="1:27">
      <c r="A134" s="43">
        <v>121</v>
      </c>
      <c r="B134" s="33" t="s">
        <v>395</v>
      </c>
      <c r="C134" s="44" t="s">
        <v>396</v>
      </c>
      <c r="D134" s="43" t="s">
        <v>397</v>
      </c>
      <c r="E134" s="45" t="s">
        <v>398</v>
      </c>
      <c r="F134" s="46">
        <v>15504006100437</v>
      </c>
      <c r="G134" s="47" t="s">
        <v>36</v>
      </c>
      <c r="H134" s="48">
        <v>17120</v>
      </c>
      <c r="I134" s="49">
        <v>38362</v>
      </c>
      <c r="J134" s="43" t="s">
        <v>37</v>
      </c>
      <c r="K134" s="48">
        <v>3252.8</v>
      </c>
      <c r="L134" s="48">
        <v>3252.8</v>
      </c>
      <c r="M134" s="48">
        <v>4519.54</v>
      </c>
      <c r="N134" s="48">
        <f t="shared" si="2"/>
        <v>11025.14</v>
      </c>
      <c r="O134" s="50">
        <v>10000</v>
      </c>
      <c r="P134" s="48">
        <f t="shared" si="3"/>
        <v>21025.14</v>
      </c>
      <c r="Q134" s="43" t="s">
        <v>398</v>
      </c>
      <c r="R134" s="51">
        <v>44890</v>
      </c>
      <c r="S134" s="51">
        <v>45015</v>
      </c>
      <c r="T134" s="51"/>
      <c r="U134" s="43"/>
      <c r="V134" s="52"/>
      <c r="W134" s="53">
        <v>45034</v>
      </c>
      <c r="X134" s="54"/>
      <c r="Y134" s="54" t="s">
        <v>54</v>
      </c>
      <c r="Z134" s="51">
        <v>45070</v>
      </c>
      <c r="AA134" s="43"/>
    </row>
    <row r="135" spans="1:27">
      <c r="A135" s="44">
        <v>122</v>
      </c>
      <c r="B135" s="33" t="s">
        <v>399</v>
      </c>
      <c r="C135" s="44" t="s">
        <v>400</v>
      </c>
      <c r="D135" s="43" t="s">
        <v>401</v>
      </c>
      <c r="E135" s="45" t="s">
        <v>307</v>
      </c>
      <c r="F135" s="46">
        <v>15504006600714</v>
      </c>
      <c r="G135" s="47" t="s">
        <v>109</v>
      </c>
      <c r="H135" s="48">
        <v>1970</v>
      </c>
      <c r="I135" s="49">
        <v>24</v>
      </c>
      <c r="J135" s="43" t="s">
        <v>324</v>
      </c>
      <c r="K135" s="48">
        <v>157.6</v>
      </c>
      <c r="L135" s="48">
        <v>157.6</v>
      </c>
      <c r="M135" s="48">
        <v>207.98</v>
      </c>
      <c r="N135" s="48">
        <f t="shared" si="2"/>
        <v>523.17999999999995</v>
      </c>
      <c r="O135" s="50">
        <v>10000</v>
      </c>
      <c r="P135" s="48">
        <f t="shared" si="3"/>
        <v>10523.18</v>
      </c>
      <c r="Q135" s="43" t="s">
        <v>307</v>
      </c>
      <c r="R135" s="51">
        <v>44971</v>
      </c>
      <c r="S135" s="51">
        <v>45001</v>
      </c>
      <c r="T135" s="43"/>
      <c r="U135" s="43"/>
      <c r="V135" s="52"/>
      <c r="W135" s="53">
        <v>45035</v>
      </c>
      <c r="X135" s="54"/>
      <c r="Y135" s="54" t="s">
        <v>54</v>
      </c>
      <c r="Z135" s="51">
        <v>45064</v>
      </c>
      <c r="AA135" s="43"/>
    </row>
    <row r="136" spans="1:27">
      <c r="A136" s="44">
        <v>123</v>
      </c>
      <c r="B136" s="33" t="s">
        <v>399</v>
      </c>
      <c r="C136" s="44" t="s">
        <v>402</v>
      </c>
      <c r="D136" s="43" t="s">
        <v>403</v>
      </c>
      <c r="E136" s="45" t="s">
        <v>307</v>
      </c>
      <c r="F136" s="46">
        <v>15504006600727</v>
      </c>
      <c r="G136" s="47" t="s">
        <v>109</v>
      </c>
      <c r="H136" s="48">
        <v>2870</v>
      </c>
      <c r="I136" s="49">
        <v>35</v>
      </c>
      <c r="J136" s="43" t="s">
        <v>324</v>
      </c>
      <c r="K136" s="48">
        <v>229.6</v>
      </c>
      <c r="L136" s="48">
        <v>229.6</v>
      </c>
      <c r="M136" s="48">
        <v>303.02</v>
      </c>
      <c r="N136" s="48">
        <f t="shared" si="2"/>
        <v>762.22</v>
      </c>
      <c r="O136" s="50">
        <v>10000</v>
      </c>
      <c r="P136" s="48">
        <f t="shared" si="3"/>
        <v>10762.22</v>
      </c>
      <c r="Q136" s="43" t="s">
        <v>307</v>
      </c>
      <c r="R136" s="51">
        <v>44971</v>
      </c>
      <c r="S136" s="51">
        <v>45001</v>
      </c>
      <c r="T136" s="43"/>
      <c r="U136" s="43"/>
      <c r="V136" s="52"/>
      <c r="W136" s="53">
        <v>45035</v>
      </c>
      <c r="X136" s="54"/>
      <c r="Y136" s="54" t="s">
        <v>54</v>
      </c>
      <c r="Z136" s="51">
        <v>45064</v>
      </c>
      <c r="AA136" s="43"/>
    </row>
    <row r="137" spans="1:27">
      <c r="A137" s="43">
        <v>124</v>
      </c>
      <c r="B137" s="33" t="s">
        <v>404</v>
      </c>
      <c r="C137" s="44" t="s">
        <v>405</v>
      </c>
      <c r="D137" s="43" t="s">
        <v>406</v>
      </c>
      <c r="E137" s="45" t="s">
        <v>307</v>
      </c>
      <c r="F137" s="46">
        <v>15504006602504</v>
      </c>
      <c r="G137" s="43"/>
      <c r="H137" s="48">
        <v>60520</v>
      </c>
      <c r="I137" s="49">
        <v>738</v>
      </c>
      <c r="J137" s="43" t="s">
        <v>37</v>
      </c>
      <c r="K137" s="48">
        <f>9078+2420.8</f>
        <v>11498.8</v>
      </c>
      <c r="L137" s="48">
        <f>9078+2420.8</f>
        <v>11498.8</v>
      </c>
      <c r="M137" s="48">
        <f>13072.2+2856.54</f>
        <v>15928.740000000002</v>
      </c>
      <c r="N137" s="48">
        <f t="shared" si="2"/>
        <v>38926.339999999997</v>
      </c>
      <c r="O137" s="50">
        <v>10000</v>
      </c>
      <c r="P137" s="48">
        <f t="shared" si="3"/>
        <v>48926.34</v>
      </c>
      <c r="Q137" s="43" t="s">
        <v>307</v>
      </c>
      <c r="R137" s="51">
        <v>45000</v>
      </c>
      <c r="S137" s="51">
        <v>44879</v>
      </c>
      <c r="T137" s="51"/>
      <c r="U137" s="43"/>
      <c r="V137" s="52"/>
      <c r="W137" s="53">
        <v>45019</v>
      </c>
      <c r="X137" s="54"/>
      <c r="Y137" s="54"/>
      <c r="Z137" s="43" t="s">
        <v>54</v>
      </c>
      <c r="AA137" s="51">
        <v>45070</v>
      </c>
    </row>
    <row r="138" spans="1:27" s="67" customFormat="1">
      <c r="A138" s="44">
        <v>125</v>
      </c>
      <c r="B138" s="56" t="s">
        <v>404</v>
      </c>
      <c r="C138" s="44" t="s">
        <v>407</v>
      </c>
      <c r="D138" s="44">
        <v>21477</v>
      </c>
      <c r="E138" s="68" t="s">
        <v>307</v>
      </c>
      <c r="F138" s="69">
        <v>15504006602518</v>
      </c>
      <c r="G138" s="92" t="s">
        <v>68</v>
      </c>
      <c r="H138" s="60">
        <v>21730</v>
      </c>
      <c r="I138" s="61">
        <v>265</v>
      </c>
      <c r="J138" s="44" t="s">
        <v>37</v>
      </c>
      <c r="K138" s="60">
        <f>3259.5+869.2</f>
        <v>4128.7</v>
      </c>
      <c r="L138" s="60">
        <v>4128.7</v>
      </c>
      <c r="M138" s="60">
        <f>4693.8+1025.66</f>
        <v>5719.46</v>
      </c>
      <c r="N138" s="60">
        <f t="shared" si="2"/>
        <v>13976.86</v>
      </c>
      <c r="O138" s="62">
        <v>10000</v>
      </c>
      <c r="P138" s="60">
        <f t="shared" si="3"/>
        <v>23976.86</v>
      </c>
      <c r="Q138" s="44" t="s">
        <v>307</v>
      </c>
      <c r="R138" s="63">
        <v>45000</v>
      </c>
      <c r="S138" s="63">
        <v>44879</v>
      </c>
      <c r="T138" s="63"/>
      <c r="U138" s="44"/>
      <c r="V138" s="64"/>
      <c r="W138" s="65">
        <v>3</v>
      </c>
      <c r="X138" s="66"/>
      <c r="Y138" s="66"/>
      <c r="Z138" s="44" t="s">
        <v>54</v>
      </c>
      <c r="AA138" s="63">
        <v>45070</v>
      </c>
    </row>
    <row r="139" spans="1:27" s="67" customFormat="1">
      <c r="A139" s="44">
        <v>126</v>
      </c>
      <c r="B139" s="56" t="s">
        <v>408</v>
      </c>
      <c r="C139" s="44" t="s">
        <v>409</v>
      </c>
      <c r="D139" s="44" t="s">
        <v>410</v>
      </c>
      <c r="E139" s="68" t="s">
        <v>135</v>
      </c>
      <c r="F139" s="69">
        <v>15504009600406</v>
      </c>
      <c r="G139" s="59" t="s">
        <v>36</v>
      </c>
      <c r="H139" s="60">
        <v>20240</v>
      </c>
      <c r="I139" s="61">
        <v>59783</v>
      </c>
      <c r="J139" s="44" t="s">
        <v>37</v>
      </c>
      <c r="K139" s="60">
        <v>3845.6</v>
      </c>
      <c r="L139" s="60">
        <v>3845.6</v>
      </c>
      <c r="M139" s="60">
        <v>5343.4</v>
      </c>
      <c r="N139" s="60">
        <f t="shared" si="2"/>
        <v>13034.599999999999</v>
      </c>
      <c r="O139" s="62">
        <v>10000</v>
      </c>
      <c r="P139" s="60">
        <f t="shared" si="3"/>
        <v>23034.6</v>
      </c>
      <c r="Q139" s="44" t="s">
        <v>135</v>
      </c>
      <c r="R139" s="63">
        <v>44880</v>
      </c>
      <c r="S139" s="63">
        <v>45005</v>
      </c>
      <c r="T139" s="44"/>
      <c r="U139" s="63"/>
      <c r="V139" s="64"/>
      <c r="W139" s="65"/>
      <c r="X139" s="66"/>
      <c r="Y139" s="66" t="s">
        <v>54</v>
      </c>
      <c r="Z139" s="63">
        <v>45063</v>
      </c>
      <c r="AA139" s="44"/>
    </row>
    <row r="140" spans="1:27">
      <c r="A140" s="43">
        <v>127</v>
      </c>
      <c r="B140" s="33" t="s">
        <v>411</v>
      </c>
      <c r="C140" s="44" t="s">
        <v>412</v>
      </c>
      <c r="D140" s="43"/>
      <c r="E140" s="45" t="s">
        <v>413</v>
      </c>
      <c r="F140" s="46">
        <v>15504010802921</v>
      </c>
      <c r="G140" s="47" t="s">
        <v>157</v>
      </c>
      <c r="H140" s="48">
        <v>426890</v>
      </c>
      <c r="I140" s="49"/>
      <c r="J140" s="43" t="s">
        <v>199</v>
      </c>
      <c r="K140" s="48">
        <v>21334.5</v>
      </c>
      <c r="L140" s="48">
        <v>21334.5</v>
      </c>
      <c r="M140" s="48">
        <v>26296.44</v>
      </c>
      <c r="N140" s="48">
        <f t="shared" si="2"/>
        <v>68965.440000000002</v>
      </c>
      <c r="O140" s="50">
        <v>10000</v>
      </c>
      <c r="P140" s="48">
        <f t="shared" si="3"/>
        <v>78965.440000000002</v>
      </c>
      <c r="Q140" s="43" t="s">
        <v>413</v>
      </c>
      <c r="R140" s="51">
        <v>44988</v>
      </c>
      <c r="S140" s="51">
        <v>45013</v>
      </c>
      <c r="T140" s="51"/>
      <c r="U140" s="43"/>
      <c r="V140" s="52"/>
      <c r="W140" s="53"/>
      <c r="X140" s="54"/>
      <c r="Y140" s="54" t="s">
        <v>54</v>
      </c>
      <c r="Z140" s="51">
        <v>45068</v>
      </c>
      <c r="AA140" s="43"/>
    </row>
    <row r="141" spans="1:27">
      <c r="A141" s="44">
        <v>128</v>
      </c>
      <c r="B141" s="33" t="s">
        <v>414</v>
      </c>
      <c r="C141" s="44" t="s">
        <v>415</v>
      </c>
      <c r="D141" s="43">
        <v>18251</v>
      </c>
      <c r="E141" s="45" t="s">
        <v>307</v>
      </c>
      <c r="F141" s="46">
        <v>15504006602527</v>
      </c>
      <c r="G141" s="47" t="s">
        <v>47</v>
      </c>
      <c r="H141" s="48">
        <v>19930</v>
      </c>
      <c r="I141" s="49">
        <v>243</v>
      </c>
      <c r="J141" s="43" t="s">
        <v>169</v>
      </c>
      <c r="K141" s="48">
        <v>797.2</v>
      </c>
      <c r="L141" s="48">
        <v>797.2</v>
      </c>
      <c r="M141" s="48">
        <v>940.7</v>
      </c>
      <c r="N141" s="48">
        <f t="shared" si="2"/>
        <v>2535.1000000000004</v>
      </c>
      <c r="O141" s="50">
        <v>10000</v>
      </c>
      <c r="P141" s="48">
        <f t="shared" si="3"/>
        <v>12535.1</v>
      </c>
      <c r="Q141" s="43" t="s">
        <v>307</v>
      </c>
      <c r="R141" s="51">
        <v>44971</v>
      </c>
      <c r="S141" s="51">
        <v>45001</v>
      </c>
      <c r="T141" s="43"/>
      <c r="U141" s="43"/>
      <c r="V141" s="52"/>
      <c r="W141" s="53">
        <v>45035</v>
      </c>
      <c r="X141" s="54"/>
      <c r="Y141" s="54" t="s">
        <v>54</v>
      </c>
      <c r="Z141" s="43"/>
      <c r="AA141" s="43"/>
    </row>
    <row r="142" spans="1:27" s="67" customFormat="1">
      <c r="A142" s="44">
        <v>129</v>
      </c>
      <c r="B142" s="56" t="s">
        <v>416</v>
      </c>
      <c r="C142" s="44" t="s">
        <v>417</v>
      </c>
      <c r="D142" s="44" t="s">
        <v>418</v>
      </c>
      <c r="E142" s="68" t="s">
        <v>307</v>
      </c>
      <c r="F142" s="69">
        <v>15504006602706</v>
      </c>
      <c r="G142" s="59" t="s">
        <v>47</v>
      </c>
      <c r="H142" s="60">
        <v>14510</v>
      </c>
      <c r="I142" s="61">
        <v>177</v>
      </c>
      <c r="J142" s="44" t="s">
        <v>74</v>
      </c>
      <c r="K142" s="60">
        <v>1596.1</v>
      </c>
      <c r="L142" s="60">
        <v>1596.1</v>
      </c>
      <c r="M142" s="60">
        <v>2159.06</v>
      </c>
      <c r="N142" s="60">
        <f t="shared" ref="N142:N205" si="4">K142+L142+M142</f>
        <v>5351.26</v>
      </c>
      <c r="O142" s="62">
        <v>10000</v>
      </c>
      <c r="P142" s="60">
        <f t="shared" ref="P142:P205" si="5">K142+L142+M142+O142</f>
        <v>15351.26</v>
      </c>
      <c r="Q142" s="44" t="s">
        <v>307</v>
      </c>
      <c r="R142" s="63">
        <v>44971</v>
      </c>
      <c r="S142" s="63">
        <v>45001</v>
      </c>
      <c r="T142" s="44"/>
      <c r="U142" s="44"/>
      <c r="V142" s="64"/>
      <c r="W142" s="65">
        <v>45019</v>
      </c>
      <c r="X142" s="66"/>
      <c r="Y142" s="66"/>
      <c r="Z142" s="44" t="s">
        <v>54</v>
      </c>
      <c r="AA142" s="63">
        <v>45061</v>
      </c>
    </row>
    <row r="143" spans="1:27" s="67" customFormat="1">
      <c r="A143" s="43">
        <v>130</v>
      </c>
      <c r="B143" s="56" t="s">
        <v>419</v>
      </c>
      <c r="C143" s="44" t="s">
        <v>420</v>
      </c>
      <c r="D143" s="44"/>
      <c r="E143" s="68" t="s">
        <v>97</v>
      </c>
      <c r="F143" s="69">
        <v>15504009501725</v>
      </c>
      <c r="G143" s="59" t="s">
        <v>381</v>
      </c>
      <c r="H143" s="60">
        <v>147350</v>
      </c>
      <c r="I143" s="61"/>
      <c r="J143" s="44" t="s">
        <v>48</v>
      </c>
      <c r="K143" s="78">
        <v>22102.5</v>
      </c>
      <c r="L143" s="78">
        <v>14735</v>
      </c>
      <c r="M143" s="78">
        <v>24754.799999999999</v>
      </c>
      <c r="N143" s="60">
        <f t="shared" si="4"/>
        <v>61592.3</v>
      </c>
      <c r="O143" s="62">
        <v>10000</v>
      </c>
      <c r="P143" s="60">
        <f t="shared" si="5"/>
        <v>71592.3</v>
      </c>
      <c r="Q143" s="44" t="s">
        <v>97</v>
      </c>
      <c r="R143" s="63">
        <v>45012</v>
      </c>
      <c r="S143" s="44"/>
      <c r="T143" s="44"/>
      <c r="U143" s="44"/>
      <c r="V143" s="79"/>
      <c r="W143" s="63"/>
      <c r="X143" s="66"/>
      <c r="Y143" s="66" t="s">
        <v>54</v>
      </c>
      <c r="Z143" s="63">
        <v>45069</v>
      </c>
      <c r="AA143" s="44"/>
    </row>
    <row r="144" spans="1:27">
      <c r="A144" s="44">
        <v>131</v>
      </c>
      <c r="B144" s="33" t="s">
        <v>421</v>
      </c>
      <c r="C144" s="44" t="s">
        <v>422</v>
      </c>
      <c r="D144" s="43" t="s">
        <v>423</v>
      </c>
      <c r="E144" s="45" t="s">
        <v>424</v>
      </c>
      <c r="F144" s="46">
        <v>15504006700221</v>
      </c>
      <c r="G144" s="47" t="s">
        <v>47</v>
      </c>
      <c r="H144" s="48">
        <v>16880</v>
      </c>
      <c r="I144" s="49">
        <v>603</v>
      </c>
      <c r="J144" s="43" t="s">
        <v>37</v>
      </c>
      <c r="K144" s="48">
        <f>2532+675.2</f>
        <v>3207.2</v>
      </c>
      <c r="L144" s="48">
        <v>3207.2</v>
      </c>
      <c r="M144" s="48">
        <f>1823.1+1823.1+398.37+398.37</f>
        <v>4442.9399999999996</v>
      </c>
      <c r="N144" s="48">
        <f t="shared" si="4"/>
        <v>10857.34</v>
      </c>
      <c r="O144" s="50">
        <v>10000</v>
      </c>
      <c r="P144" s="48">
        <f t="shared" si="5"/>
        <v>20857.34</v>
      </c>
      <c r="Q144" s="43" t="s">
        <v>424</v>
      </c>
      <c r="R144" s="51">
        <v>44875</v>
      </c>
      <c r="S144" s="51">
        <v>45006</v>
      </c>
      <c r="T144" s="51"/>
      <c r="U144" s="43"/>
      <c r="V144" s="52"/>
      <c r="W144" s="53"/>
      <c r="X144" s="54"/>
      <c r="Y144" s="93" t="s">
        <v>425</v>
      </c>
      <c r="Z144" s="43"/>
      <c r="AA144" s="43"/>
    </row>
    <row r="145" spans="1:27">
      <c r="A145" s="44">
        <v>132</v>
      </c>
      <c r="B145" s="33" t="s">
        <v>426</v>
      </c>
      <c r="C145" s="44" t="s">
        <v>427</v>
      </c>
      <c r="D145" s="43" t="s">
        <v>428</v>
      </c>
      <c r="E145" s="45" t="s">
        <v>240</v>
      </c>
      <c r="F145" s="46">
        <v>15504003000585</v>
      </c>
      <c r="G145" s="47" t="s">
        <v>429</v>
      </c>
      <c r="H145" s="48">
        <v>1260</v>
      </c>
      <c r="I145" s="49">
        <v>14</v>
      </c>
      <c r="J145" s="43" t="s">
        <v>315</v>
      </c>
      <c r="K145" s="48">
        <v>50.4</v>
      </c>
      <c r="L145" s="48">
        <v>50.4</v>
      </c>
      <c r="M145" s="48">
        <v>59.46</v>
      </c>
      <c r="N145" s="48">
        <f t="shared" si="4"/>
        <v>160.26</v>
      </c>
      <c r="O145" s="50">
        <v>10000</v>
      </c>
      <c r="P145" s="48">
        <f t="shared" si="5"/>
        <v>10160.26</v>
      </c>
      <c r="Q145" s="43" t="s">
        <v>240</v>
      </c>
      <c r="R145" s="51">
        <v>44963</v>
      </c>
      <c r="S145" s="51">
        <v>44999</v>
      </c>
      <c r="T145" s="43"/>
      <c r="U145" s="43"/>
      <c r="V145" s="52"/>
      <c r="W145" s="53">
        <v>45019</v>
      </c>
      <c r="X145" s="73">
        <v>44988</v>
      </c>
      <c r="Y145" s="54"/>
      <c r="Z145" s="43" t="s">
        <v>54</v>
      </c>
      <c r="AA145" s="43"/>
    </row>
    <row r="146" spans="1:27">
      <c r="A146" s="43">
        <v>133</v>
      </c>
      <c r="B146" s="33" t="s">
        <v>426</v>
      </c>
      <c r="C146" s="44" t="s">
        <v>430</v>
      </c>
      <c r="D146" s="43" t="s">
        <v>431</v>
      </c>
      <c r="E146" s="45" t="s">
        <v>240</v>
      </c>
      <c r="F146" s="46">
        <v>15504003000583</v>
      </c>
      <c r="G146" s="47" t="s">
        <v>429</v>
      </c>
      <c r="H146" s="48">
        <v>720</v>
      </c>
      <c r="I146" s="49">
        <v>8</v>
      </c>
      <c r="J146" s="43" t="s">
        <v>315</v>
      </c>
      <c r="K146" s="48">
        <v>28.8</v>
      </c>
      <c r="L146" s="48">
        <v>28.8</v>
      </c>
      <c r="M146" s="48">
        <v>33.979999999999997</v>
      </c>
      <c r="N146" s="48">
        <f t="shared" si="4"/>
        <v>91.58</v>
      </c>
      <c r="O146" s="50">
        <v>10000</v>
      </c>
      <c r="P146" s="48">
        <f t="shared" si="5"/>
        <v>10091.58</v>
      </c>
      <c r="Q146" s="43" t="s">
        <v>240</v>
      </c>
      <c r="R146" s="51">
        <v>44963</v>
      </c>
      <c r="S146" s="51">
        <v>44999</v>
      </c>
      <c r="T146" s="43"/>
      <c r="U146" s="43"/>
      <c r="V146" s="52"/>
      <c r="W146" s="53">
        <v>45019</v>
      </c>
      <c r="X146" s="73">
        <v>44988</v>
      </c>
      <c r="Y146" s="54"/>
      <c r="Z146" s="43" t="s">
        <v>54</v>
      </c>
      <c r="AA146" s="43"/>
    </row>
    <row r="147" spans="1:27">
      <c r="A147" s="44">
        <v>134</v>
      </c>
      <c r="B147" s="33" t="s">
        <v>426</v>
      </c>
      <c r="C147" s="44" t="s">
        <v>432</v>
      </c>
      <c r="D147" s="43" t="s">
        <v>433</v>
      </c>
      <c r="E147" s="45" t="s">
        <v>240</v>
      </c>
      <c r="F147" s="46">
        <v>15504003000587</v>
      </c>
      <c r="G147" s="47" t="s">
        <v>434</v>
      </c>
      <c r="H147" s="48">
        <v>3420</v>
      </c>
      <c r="I147" s="49">
        <v>38</v>
      </c>
      <c r="J147" s="43" t="s">
        <v>315</v>
      </c>
      <c r="K147" s="48">
        <v>136.80000000000001</v>
      </c>
      <c r="L147" s="48">
        <v>136.80000000000001</v>
      </c>
      <c r="M147" s="48">
        <v>164.14</v>
      </c>
      <c r="N147" s="48">
        <f t="shared" si="4"/>
        <v>437.74</v>
      </c>
      <c r="O147" s="50">
        <v>10000</v>
      </c>
      <c r="P147" s="48">
        <f t="shared" si="5"/>
        <v>10437.74</v>
      </c>
      <c r="Q147" s="43" t="s">
        <v>240</v>
      </c>
      <c r="R147" s="51">
        <v>44963</v>
      </c>
      <c r="S147" s="51">
        <v>44999</v>
      </c>
      <c r="T147" s="43"/>
      <c r="U147" s="43"/>
      <c r="V147" s="52"/>
      <c r="W147" s="53">
        <v>45019</v>
      </c>
      <c r="X147" s="73">
        <v>44988</v>
      </c>
      <c r="Y147" s="54"/>
      <c r="Z147" s="43" t="s">
        <v>54</v>
      </c>
      <c r="AA147" s="43"/>
    </row>
    <row r="148" spans="1:27">
      <c r="A148" s="44">
        <v>135</v>
      </c>
      <c r="B148" s="33" t="s">
        <v>426</v>
      </c>
      <c r="C148" s="44" t="s">
        <v>435</v>
      </c>
      <c r="D148" s="43" t="s">
        <v>436</v>
      </c>
      <c r="E148" s="45" t="s">
        <v>240</v>
      </c>
      <c r="F148" s="46">
        <v>15504003000580</v>
      </c>
      <c r="G148" s="47" t="s">
        <v>429</v>
      </c>
      <c r="H148" s="48">
        <v>360</v>
      </c>
      <c r="I148" s="49">
        <v>4</v>
      </c>
      <c r="J148" s="43" t="s">
        <v>315</v>
      </c>
      <c r="K148" s="48">
        <v>14.4</v>
      </c>
      <c r="L148" s="48">
        <v>14.4</v>
      </c>
      <c r="M148" s="48">
        <v>16.98</v>
      </c>
      <c r="N148" s="48">
        <f t="shared" si="4"/>
        <v>45.78</v>
      </c>
      <c r="O148" s="50">
        <v>10000</v>
      </c>
      <c r="P148" s="48">
        <f t="shared" si="5"/>
        <v>10045.780000000001</v>
      </c>
      <c r="Q148" s="43" t="s">
        <v>240</v>
      </c>
      <c r="R148" s="51">
        <v>44963</v>
      </c>
      <c r="S148" s="51">
        <v>44999</v>
      </c>
      <c r="T148" s="43"/>
      <c r="U148" s="43"/>
      <c r="V148" s="52"/>
      <c r="W148" s="53">
        <v>45019</v>
      </c>
      <c r="X148" s="73">
        <v>44988</v>
      </c>
      <c r="Y148" s="54"/>
      <c r="Z148" s="43" t="s">
        <v>54</v>
      </c>
      <c r="AA148" s="43"/>
    </row>
    <row r="149" spans="1:27">
      <c r="A149" s="43">
        <v>136</v>
      </c>
      <c r="B149" s="33" t="s">
        <v>437</v>
      </c>
      <c r="C149" s="44" t="s">
        <v>438</v>
      </c>
      <c r="D149" s="43" t="s">
        <v>439</v>
      </c>
      <c r="E149" s="45" t="s">
        <v>240</v>
      </c>
      <c r="F149" s="46">
        <v>15504003000512</v>
      </c>
      <c r="G149" s="47" t="s">
        <v>434</v>
      </c>
      <c r="H149" s="48">
        <v>4050</v>
      </c>
      <c r="I149" s="49">
        <v>45</v>
      </c>
      <c r="J149" s="43" t="s">
        <v>37</v>
      </c>
      <c r="K149" s="48">
        <v>769.5</v>
      </c>
      <c r="L149" s="48">
        <v>769.5</v>
      </c>
      <c r="M149" s="48">
        <v>1065.96</v>
      </c>
      <c r="N149" s="48">
        <f t="shared" si="4"/>
        <v>2604.96</v>
      </c>
      <c r="O149" s="50">
        <v>10000</v>
      </c>
      <c r="P149" s="48">
        <f t="shared" si="5"/>
        <v>12604.96</v>
      </c>
      <c r="Q149" s="43" t="s">
        <v>240</v>
      </c>
      <c r="R149" s="51">
        <v>44963</v>
      </c>
      <c r="S149" s="51">
        <v>44998</v>
      </c>
      <c r="T149" s="43"/>
      <c r="U149" s="43"/>
      <c r="V149" s="52"/>
      <c r="W149" s="53">
        <v>45019</v>
      </c>
      <c r="X149" s="73">
        <v>44988</v>
      </c>
      <c r="Y149" s="54"/>
      <c r="Z149" s="43" t="s">
        <v>54</v>
      </c>
      <c r="AA149" s="43"/>
    </row>
    <row r="150" spans="1:27" s="67" customFormat="1">
      <c r="A150" s="44">
        <v>137</v>
      </c>
      <c r="B150" s="56" t="s">
        <v>440</v>
      </c>
      <c r="C150" s="44" t="s">
        <v>441</v>
      </c>
      <c r="D150" s="44" t="s">
        <v>442</v>
      </c>
      <c r="E150" s="57" t="s">
        <v>211</v>
      </c>
      <c r="F150" s="69">
        <v>15504008301205</v>
      </c>
      <c r="G150" s="59" t="s">
        <v>36</v>
      </c>
      <c r="H150" s="60">
        <v>64040</v>
      </c>
      <c r="I150" s="61">
        <v>146953</v>
      </c>
      <c r="J150" s="44" t="s">
        <v>42</v>
      </c>
      <c r="K150" s="60">
        <v>11527.2</v>
      </c>
      <c r="L150" s="60">
        <v>11527.2</v>
      </c>
      <c r="M150" s="60">
        <v>15933.22</v>
      </c>
      <c r="N150" s="60">
        <f t="shared" si="4"/>
        <v>38987.620000000003</v>
      </c>
      <c r="O150" s="62">
        <v>10000</v>
      </c>
      <c r="P150" s="60">
        <f t="shared" si="5"/>
        <v>48987.62</v>
      </c>
      <c r="Q150" s="44" t="s">
        <v>211</v>
      </c>
      <c r="R150" s="63">
        <v>44901</v>
      </c>
      <c r="S150" s="63">
        <v>12143</v>
      </c>
      <c r="T150" s="63"/>
      <c r="U150" s="44"/>
      <c r="V150" s="64"/>
      <c r="W150" s="65"/>
      <c r="Y150" s="66"/>
      <c r="Z150" s="44"/>
      <c r="AA150" s="44"/>
    </row>
    <row r="151" spans="1:27" s="67" customFormat="1">
      <c r="A151" s="44">
        <v>138</v>
      </c>
      <c r="B151" s="56" t="s">
        <v>443</v>
      </c>
      <c r="C151" s="44" t="s">
        <v>444</v>
      </c>
      <c r="D151" s="44">
        <v>1689</v>
      </c>
      <c r="E151" s="68" t="s">
        <v>307</v>
      </c>
      <c r="F151" s="69">
        <v>15504006601238</v>
      </c>
      <c r="G151" s="95" t="s">
        <v>445</v>
      </c>
      <c r="H151" s="60">
        <v>35080</v>
      </c>
      <c r="I151" s="61">
        <v>5209</v>
      </c>
      <c r="J151" s="44" t="s">
        <v>63</v>
      </c>
      <c r="K151" s="60">
        <v>4911.2</v>
      </c>
      <c r="L151" s="60">
        <v>4911.2</v>
      </c>
      <c r="M151" s="60">
        <v>6707.38</v>
      </c>
      <c r="N151" s="60">
        <f t="shared" si="4"/>
        <v>16529.78</v>
      </c>
      <c r="O151" s="62">
        <v>10000</v>
      </c>
      <c r="P151" s="60">
        <f t="shared" si="5"/>
        <v>26529.78</v>
      </c>
      <c r="Q151" s="44" t="s">
        <v>307</v>
      </c>
      <c r="R151" s="44"/>
      <c r="S151" s="63">
        <v>44879</v>
      </c>
      <c r="T151" s="63"/>
      <c r="U151" s="44"/>
      <c r="V151" s="64"/>
      <c r="W151" s="65"/>
      <c r="X151" s="66"/>
      <c r="Y151" s="66"/>
      <c r="Z151" s="44"/>
      <c r="AA151" s="44"/>
    </row>
    <row r="152" spans="1:27" s="67" customFormat="1">
      <c r="A152" s="43">
        <v>139</v>
      </c>
      <c r="B152" s="56" t="s">
        <v>446</v>
      </c>
      <c r="C152" s="44" t="s">
        <v>447</v>
      </c>
      <c r="D152" s="44"/>
      <c r="E152" s="57" t="s">
        <v>161</v>
      </c>
      <c r="F152" s="69"/>
      <c r="G152" s="59" t="s">
        <v>157</v>
      </c>
      <c r="H152" s="60">
        <v>20280</v>
      </c>
      <c r="I152" s="61"/>
      <c r="J152" s="44" t="s">
        <v>37</v>
      </c>
      <c r="K152" s="78">
        <f>3042+811.2</f>
        <v>3853.2</v>
      </c>
      <c r="L152" s="78">
        <v>3853.2</v>
      </c>
      <c r="M152" s="78">
        <f>4380.6+851.76</f>
        <v>5232.3600000000006</v>
      </c>
      <c r="N152" s="60">
        <f t="shared" si="4"/>
        <v>12938.76</v>
      </c>
      <c r="O152" s="62">
        <v>10000</v>
      </c>
      <c r="P152" s="60">
        <f t="shared" si="5"/>
        <v>22938.760000000002</v>
      </c>
      <c r="Q152" s="44" t="s">
        <v>161</v>
      </c>
      <c r="R152" s="63">
        <v>44879</v>
      </c>
      <c r="S152" s="63">
        <v>45013</v>
      </c>
      <c r="T152" s="44"/>
      <c r="U152" s="44"/>
      <c r="V152" s="79"/>
      <c r="W152" s="63">
        <v>45030</v>
      </c>
      <c r="X152" s="66"/>
      <c r="Y152" s="66"/>
      <c r="Z152" s="44" t="s">
        <v>54</v>
      </c>
      <c r="AA152" s="44"/>
    </row>
    <row r="153" spans="1:27" s="67" customFormat="1">
      <c r="A153" s="44">
        <v>140</v>
      </c>
      <c r="B153" s="56" t="s">
        <v>448</v>
      </c>
      <c r="C153" s="44" t="s">
        <v>449</v>
      </c>
      <c r="D153" s="44"/>
      <c r="E153" s="57" t="s">
        <v>161</v>
      </c>
      <c r="F153" s="69">
        <v>15504004700503</v>
      </c>
      <c r="G153" s="59" t="s">
        <v>157</v>
      </c>
      <c r="H153" s="60">
        <v>66600</v>
      </c>
      <c r="I153" s="61"/>
      <c r="J153" s="44" t="s">
        <v>37</v>
      </c>
      <c r="K153" s="78">
        <f>9990+2664</f>
        <v>12654</v>
      </c>
      <c r="L153" s="78">
        <v>12654</v>
      </c>
      <c r="M153" s="78">
        <f>14385.6+3196.8</f>
        <v>17582.400000000001</v>
      </c>
      <c r="N153" s="60">
        <f t="shared" si="4"/>
        <v>42890.400000000001</v>
      </c>
      <c r="O153" s="62">
        <v>10000</v>
      </c>
      <c r="P153" s="60">
        <f t="shared" si="5"/>
        <v>52890.400000000001</v>
      </c>
      <c r="Q153" s="44" t="s">
        <v>161</v>
      </c>
      <c r="R153" s="63">
        <v>44879</v>
      </c>
      <c r="S153" s="63">
        <v>45013</v>
      </c>
      <c r="T153" s="44"/>
      <c r="U153" s="44"/>
      <c r="V153" s="79"/>
      <c r="W153" s="63">
        <v>45030</v>
      </c>
      <c r="X153" s="66"/>
      <c r="Y153" s="66"/>
      <c r="Z153" s="44" t="s">
        <v>54</v>
      </c>
      <c r="AA153" s="44"/>
    </row>
    <row r="154" spans="1:27" s="42" customFormat="1">
      <c r="A154" s="44">
        <v>141</v>
      </c>
      <c r="B154" s="33" t="s">
        <v>450</v>
      </c>
      <c r="C154" s="34" t="s">
        <v>451</v>
      </c>
      <c r="D154" s="32">
        <v>44022</v>
      </c>
      <c r="E154" s="35" t="s">
        <v>108</v>
      </c>
      <c r="F154" s="36">
        <v>15504007700710</v>
      </c>
      <c r="G154" s="96" t="s">
        <v>68</v>
      </c>
      <c r="H154" s="37">
        <v>43990</v>
      </c>
      <c r="I154" s="97">
        <v>1571</v>
      </c>
      <c r="J154" s="32" t="s">
        <v>42</v>
      </c>
      <c r="K154" s="37">
        <v>7918.2</v>
      </c>
      <c r="L154" s="37">
        <v>7918.2</v>
      </c>
      <c r="M154" s="37">
        <v>10944.78</v>
      </c>
      <c r="N154" s="37">
        <f t="shared" si="4"/>
        <v>26781.18</v>
      </c>
      <c r="O154" s="38">
        <v>10000</v>
      </c>
      <c r="P154" s="37">
        <f t="shared" si="5"/>
        <v>36781.18</v>
      </c>
      <c r="Q154" s="32" t="s">
        <v>108</v>
      </c>
      <c r="R154" s="98">
        <v>44889</v>
      </c>
      <c r="S154" s="98">
        <v>45013</v>
      </c>
      <c r="T154" s="98"/>
      <c r="U154" s="32"/>
      <c r="V154" s="39"/>
      <c r="W154" s="40"/>
      <c r="X154" s="41"/>
      <c r="Y154" s="41"/>
      <c r="Z154" s="32"/>
      <c r="AA154" s="32"/>
    </row>
    <row r="155" spans="1:27">
      <c r="A155" s="43">
        <v>142</v>
      </c>
      <c r="B155" s="33" t="s">
        <v>452</v>
      </c>
      <c r="C155" s="44" t="s">
        <v>453</v>
      </c>
      <c r="D155" s="43" t="s">
        <v>454</v>
      </c>
      <c r="E155" s="45" t="s">
        <v>455</v>
      </c>
      <c r="F155" s="46">
        <v>15504007500904</v>
      </c>
      <c r="G155" s="47" t="s">
        <v>36</v>
      </c>
      <c r="H155" s="48">
        <v>16840</v>
      </c>
      <c r="I155" s="49">
        <v>24349</v>
      </c>
      <c r="J155" s="43" t="s">
        <v>37</v>
      </c>
      <c r="K155" s="48">
        <f>2526+673.6</f>
        <v>3199.6</v>
      </c>
      <c r="L155" s="48">
        <v>3199.6</v>
      </c>
      <c r="M155" s="48">
        <f>3637.5+767.92</f>
        <v>4405.42</v>
      </c>
      <c r="N155" s="48">
        <f t="shared" si="4"/>
        <v>10804.619999999999</v>
      </c>
      <c r="O155" s="50">
        <v>10000</v>
      </c>
      <c r="P155" s="48">
        <f t="shared" si="5"/>
        <v>20804.62</v>
      </c>
      <c r="Q155" s="43" t="s">
        <v>455</v>
      </c>
      <c r="R155" s="51">
        <v>44880</v>
      </c>
      <c r="S155" s="51">
        <v>45008</v>
      </c>
      <c r="T155" s="51"/>
      <c r="U155" s="43"/>
      <c r="V155" s="52"/>
      <c r="W155" s="53">
        <v>45030</v>
      </c>
      <c r="Y155" s="54"/>
      <c r="Z155" s="43" t="s">
        <v>54</v>
      </c>
      <c r="AA155" s="43"/>
    </row>
    <row r="156" spans="1:27">
      <c r="A156" s="44">
        <v>143</v>
      </c>
      <c r="B156" s="33" t="s">
        <v>456</v>
      </c>
      <c r="C156" s="44" t="s">
        <v>457</v>
      </c>
      <c r="D156" s="43" t="s">
        <v>458</v>
      </c>
      <c r="E156" s="91" t="s">
        <v>244</v>
      </c>
      <c r="F156" s="46">
        <v>15504010201705</v>
      </c>
      <c r="G156" s="47" t="s">
        <v>68</v>
      </c>
      <c r="H156" s="48">
        <v>39980</v>
      </c>
      <c r="I156" s="49">
        <v>1428</v>
      </c>
      <c r="J156" s="43" t="s">
        <v>37</v>
      </c>
      <c r="K156" s="48">
        <f>5997+1599.2</f>
        <v>7596.2</v>
      </c>
      <c r="L156" s="48">
        <v>7596.2</v>
      </c>
      <c r="M156" s="48">
        <f>8635.8+1887.06</f>
        <v>10522.859999999999</v>
      </c>
      <c r="N156" s="48">
        <f t="shared" si="4"/>
        <v>25715.26</v>
      </c>
      <c r="O156" s="50">
        <v>10000</v>
      </c>
      <c r="P156" s="48">
        <f t="shared" si="5"/>
        <v>35715.259999999995</v>
      </c>
      <c r="Q156" s="43" t="s">
        <v>244</v>
      </c>
      <c r="R156" s="51">
        <v>44888</v>
      </c>
      <c r="S156" s="51">
        <v>45015</v>
      </c>
      <c r="T156" s="51"/>
      <c r="U156" s="43"/>
      <c r="V156" s="52"/>
      <c r="W156" s="53">
        <v>45020</v>
      </c>
      <c r="X156" s="54"/>
      <c r="Y156" s="54"/>
      <c r="Z156" s="43" t="s">
        <v>54</v>
      </c>
      <c r="AA156" s="43"/>
    </row>
    <row r="157" spans="1:27" s="67" customFormat="1">
      <c r="A157" s="44">
        <v>144</v>
      </c>
      <c r="B157" s="56" t="s">
        <v>459</v>
      </c>
      <c r="C157" s="44" t="s">
        <v>460</v>
      </c>
      <c r="D157" s="70" t="s">
        <v>461</v>
      </c>
      <c r="E157" s="57" t="s">
        <v>41</v>
      </c>
      <c r="F157" s="99">
        <v>15504006300305</v>
      </c>
      <c r="G157" s="59" t="s">
        <v>36</v>
      </c>
      <c r="H157" s="60">
        <v>18340</v>
      </c>
      <c r="I157" s="61">
        <v>23814</v>
      </c>
      <c r="J157" s="44" t="s">
        <v>37</v>
      </c>
      <c r="K157" s="60">
        <v>3484.6</v>
      </c>
      <c r="L157" s="60">
        <v>3484.6</v>
      </c>
      <c r="M157" s="60">
        <v>4841.82</v>
      </c>
      <c r="N157" s="60">
        <f t="shared" si="4"/>
        <v>11811.02</v>
      </c>
      <c r="O157" s="62">
        <v>10000</v>
      </c>
      <c r="P157" s="60">
        <f t="shared" si="5"/>
        <v>21811.02</v>
      </c>
      <c r="Q157" s="44" t="s">
        <v>41</v>
      </c>
      <c r="R157" s="63">
        <v>44879</v>
      </c>
      <c r="S157" s="63">
        <v>45006</v>
      </c>
      <c r="T157" s="63"/>
      <c r="U157" s="44"/>
      <c r="V157" s="64"/>
      <c r="W157" s="65">
        <v>45040</v>
      </c>
      <c r="X157" s="66"/>
      <c r="Y157" s="66" t="s">
        <v>54</v>
      </c>
      <c r="Z157" s="44"/>
      <c r="AA157" s="44"/>
    </row>
    <row r="158" spans="1:27" s="67" customFormat="1">
      <c r="A158" s="43">
        <v>145</v>
      </c>
      <c r="B158" s="56" t="s">
        <v>459</v>
      </c>
      <c r="C158" s="44" t="s">
        <v>462</v>
      </c>
      <c r="D158" s="70" t="s">
        <v>463</v>
      </c>
      <c r="E158" s="57" t="s">
        <v>41</v>
      </c>
      <c r="F158" s="99">
        <v>15504006300605</v>
      </c>
      <c r="G158" s="59" t="s">
        <v>464</v>
      </c>
      <c r="H158" s="60">
        <v>57700</v>
      </c>
      <c r="I158" s="61">
        <v>3606</v>
      </c>
      <c r="J158" s="44" t="s">
        <v>37</v>
      </c>
      <c r="K158" s="60">
        <v>10963</v>
      </c>
      <c r="L158" s="60">
        <v>10963</v>
      </c>
      <c r="M158" s="60">
        <v>15094.32</v>
      </c>
      <c r="N158" s="60">
        <f t="shared" si="4"/>
        <v>37020.32</v>
      </c>
      <c r="O158" s="62">
        <v>10000</v>
      </c>
      <c r="P158" s="60">
        <f t="shared" si="5"/>
        <v>47020.32</v>
      </c>
      <c r="Q158" s="44" t="s">
        <v>41</v>
      </c>
      <c r="R158" s="63">
        <v>44879</v>
      </c>
      <c r="S158" s="63">
        <v>45006</v>
      </c>
      <c r="T158" s="63"/>
      <c r="U158" s="44"/>
      <c r="V158" s="64"/>
      <c r="W158" s="65">
        <v>45040</v>
      </c>
      <c r="X158" s="66"/>
      <c r="Y158" s="66" t="s">
        <v>54</v>
      </c>
      <c r="Z158" s="63">
        <v>45065</v>
      </c>
      <c r="AA158" s="44"/>
    </row>
    <row r="159" spans="1:27" s="67" customFormat="1">
      <c r="A159" s="44">
        <v>146</v>
      </c>
      <c r="B159" s="56" t="s">
        <v>459</v>
      </c>
      <c r="C159" s="44" t="s">
        <v>465</v>
      </c>
      <c r="D159" s="70" t="s">
        <v>466</v>
      </c>
      <c r="E159" s="57" t="s">
        <v>41</v>
      </c>
      <c r="F159" s="69">
        <v>15504006301205</v>
      </c>
      <c r="G159" s="59" t="s">
        <v>47</v>
      </c>
      <c r="H159" s="60">
        <v>37360</v>
      </c>
      <c r="I159" s="61">
        <v>2335</v>
      </c>
      <c r="J159" s="44" t="s">
        <v>37</v>
      </c>
      <c r="K159" s="60">
        <v>7098.4</v>
      </c>
      <c r="L159" s="60">
        <v>7098.4</v>
      </c>
      <c r="M159" s="60">
        <v>9862.98</v>
      </c>
      <c r="N159" s="60">
        <f t="shared" si="4"/>
        <v>24059.78</v>
      </c>
      <c r="O159" s="62">
        <v>10000</v>
      </c>
      <c r="P159" s="60">
        <f t="shared" si="5"/>
        <v>34059.78</v>
      </c>
      <c r="Q159" s="44" t="s">
        <v>41</v>
      </c>
      <c r="R159" s="63">
        <v>44879</v>
      </c>
      <c r="S159" s="63"/>
      <c r="T159" s="63"/>
      <c r="U159" s="44"/>
      <c r="V159" s="64"/>
      <c r="W159" s="65">
        <v>45040</v>
      </c>
      <c r="X159" s="66"/>
      <c r="Y159" s="66" t="s">
        <v>54</v>
      </c>
      <c r="Z159" s="63">
        <v>45065</v>
      </c>
      <c r="AA159" s="44"/>
    </row>
    <row r="160" spans="1:27" s="67" customFormat="1">
      <c r="A160" s="44">
        <v>147</v>
      </c>
      <c r="B160" s="56" t="s">
        <v>459</v>
      </c>
      <c r="C160" s="44" t="s">
        <v>467</v>
      </c>
      <c r="D160" s="44" t="s">
        <v>468</v>
      </c>
      <c r="E160" s="57" t="s">
        <v>41</v>
      </c>
      <c r="F160" s="99">
        <v>15504006302526</v>
      </c>
      <c r="G160" s="59" t="s">
        <v>36</v>
      </c>
      <c r="H160" s="60">
        <v>20430</v>
      </c>
      <c r="I160" s="61">
        <v>26528</v>
      </c>
      <c r="J160" s="44" t="s">
        <v>37</v>
      </c>
      <c r="K160" s="60">
        <v>3881.7</v>
      </c>
      <c r="L160" s="60">
        <v>3881.7</v>
      </c>
      <c r="M160" s="60">
        <v>5393.66</v>
      </c>
      <c r="N160" s="60">
        <f t="shared" si="4"/>
        <v>13157.06</v>
      </c>
      <c r="O160" s="62">
        <v>10000</v>
      </c>
      <c r="P160" s="60">
        <f t="shared" si="5"/>
        <v>23157.059999999998</v>
      </c>
      <c r="Q160" s="44" t="s">
        <v>41</v>
      </c>
      <c r="R160" s="63">
        <v>44879</v>
      </c>
      <c r="S160" s="63">
        <v>45006</v>
      </c>
      <c r="T160" s="63"/>
      <c r="U160" s="44"/>
      <c r="V160" s="64"/>
      <c r="W160" s="65">
        <v>45040</v>
      </c>
      <c r="X160" s="66"/>
      <c r="Y160" s="66" t="s">
        <v>54</v>
      </c>
      <c r="Z160" s="63">
        <v>45065</v>
      </c>
      <c r="AA160" s="44"/>
    </row>
    <row r="161" spans="1:52">
      <c r="A161" s="43">
        <v>148</v>
      </c>
      <c r="B161" s="33" t="s">
        <v>469</v>
      </c>
      <c r="C161" s="44" t="s">
        <v>470</v>
      </c>
      <c r="D161" s="43"/>
      <c r="E161" s="45" t="s">
        <v>270</v>
      </c>
      <c r="F161" s="46">
        <v>15504005405907</v>
      </c>
      <c r="G161" s="47" t="s">
        <v>157</v>
      </c>
      <c r="H161" s="48">
        <v>29450</v>
      </c>
      <c r="I161" s="49"/>
      <c r="J161" s="43" t="s">
        <v>37</v>
      </c>
      <c r="K161" s="48">
        <v>5598.5</v>
      </c>
      <c r="L161" s="48">
        <v>5595.5</v>
      </c>
      <c r="M161" s="48">
        <v>7751.24</v>
      </c>
      <c r="N161" s="48">
        <f t="shared" si="4"/>
        <v>18945.239999999998</v>
      </c>
      <c r="O161" s="50">
        <v>10000</v>
      </c>
      <c r="P161" s="48">
        <f t="shared" si="5"/>
        <v>28945.239999999998</v>
      </c>
      <c r="Q161" s="43" t="s">
        <v>270</v>
      </c>
      <c r="R161" s="51">
        <v>44876</v>
      </c>
      <c r="S161" s="51">
        <v>45015</v>
      </c>
      <c r="T161" s="51"/>
      <c r="U161" s="43"/>
      <c r="V161" s="52"/>
      <c r="W161" s="53">
        <v>45040</v>
      </c>
      <c r="X161" s="54"/>
      <c r="Y161" s="93" t="s">
        <v>471</v>
      </c>
      <c r="Z161" s="43"/>
      <c r="AA161" s="43"/>
    </row>
    <row r="162" spans="1:52" s="67" customFormat="1">
      <c r="A162" s="44">
        <v>149</v>
      </c>
      <c r="B162" s="56" t="s">
        <v>472</v>
      </c>
      <c r="C162" s="44" t="s">
        <v>473</v>
      </c>
      <c r="D162" s="44" t="s">
        <v>474</v>
      </c>
      <c r="E162" s="68" t="s">
        <v>135</v>
      </c>
      <c r="F162" s="69">
        <v>15504009600104</v>
      </c>
      <c r="G162" s="59" t="s">
        <v>36</v>
      </c>
      <c r="H162" s="60">
        <v>17980</v>
      </c>
      <c r="I162" s="61">
        <v>42281</v>
      </c>
      <c r="J162" s="44" t="s">
        <v>42</v>
      </c>
      <c r="K162" s="60">
        <v>3236.4</v>
      </c>
      <c r="L162" s="60">
        <v>3236.4</v>
      </c>
      <c r="M162" s="60">
        <v>4487.9399999999996</v>
      </c>
      <c r="N162" s="60">
        <f t="shared" si="4"/>
        <v>10960.74</v>
      </c>
      <c r="O162" s="62">
        <v>10000</v>
      </c>
      <c r="P162" s="60">
        <f t="shared" si="5"/>
        <v>20960.739999999998</v>
      </c>
      <c r="Q162" s="44" t="s">
        <v>135</v>
      </c>
      <c r="R162" s="63">
        <v>44880</v>
      </c>
      <c r="S162" s="63"/>
      <c r="T162" s="63"/>
      <c r="U162" s="44"/>
      <c r="V162" s="64"/>
      <c r="W162" s="65"/>
      <c r="X162" s="66"/>
      <c r="Y162" s="66" t="s">
        <v>54</v>
      </c>
      <c r="Z162" s="63">
        <v>45063</v>
      </c>
      <c r="AA162" s="44"/>
      <c r="AZ162" s="67">
        <v>10000</v>
      </c>
    </row>
    <row r="163" spans="1:52">
      <c r="A163" s="44">
        <v>150</v>
      </c>
      <c r="B163" s="33" t="s">
        <v>475</v>
      </c>
      <c r="C163" s="44" t="s">
        <v>476</v>
      </c>
      <c r="D163" s="43" t="s">
        <v>477</v>
      </c>
      <c r="E163" s="45" t="s">
        <v>478</v>
      </c>
      <c r="F163" s="46">
        <v>15504005801623</v>
      </c>
      <c r="G163" s="47" t="s">
        <v>36</v>
      </c>
      <c r="H163" s="48">
        <v>12940</v>
      </c>
      <c r="I163" s="49">
        <v>21223</v>
      </c>
      <c r="J163" s="43" t="s">
        <v>37</v>
      </c>
      <c r="K163" s="48">
        <f>1941+517.6</f>
        <v>2458.6</v>
      </c>
      <c r="L163" s="48">
        <v>2458.6</v>
      </c>
      <c r="M163" s="48">
        <f>1397.55+1397.55+305.39+305.39</f>
        <v>3405.8799999999997</v>
      </c>
      <c r="N163" s="48">
        <f t="shared" si="4"/>
        <v>8323.08</v>
      </c>
      <c r="O163" s="50">
        <v>10000</v>
      </c>
      <c r="P163" s="48">
        <f t="shared" si="5"/>
        <v>18323.080000000002</v>
      </c>
      <c r="Q163" s="43" t="s">
        <v>478</v>
      </c>
      <c r="R163" s="51">
        <v>45002</v>
      </c>
      <c r="S163" s="51">
        <v>44876</v>
      </c>
      <c r="T163" s="51"/>
      <c r="U163" s="43"/>
      <c r="V163" s="52"/>
      <c r="W163" s="53"/>
      <c r="X163" s="54"/>
      <c r="Y163" s="54"/>
      <c r="Z163" s="43"/>
      <c r="AA163" s="43"/>
    </row>
    <row r="164" spans="1:52" s="67" customFormat="1">
      <c r="A164" s="43">
        <v>151</v>
      </c>
      <c r="B164" s="56" t="s">
        <v>479</v>
      </c>
      <c r="C164" s="44" t="s">
        <v>480</v>
      </c>
      <c r="D164" s="44"/>
      <c r="E164" s="57" t="s">
        <v>41</v>
      </c>
      <c r="F164" s="69">
        <v>15504006300713</v>
      </c>
      <c r="G164" s="59" t="s">
        <v>36</v>
      </c>
      <c r="H164" s="60">
        <v>7950</v>
      </c>
      <c r="I164" s="61">
        <v>10321</v>
      </c>
      <c r="J164" s="44" t="s">
        <v>37</v>
      </c>
      <c r="K164" s="60">
        <f>1192.5+318</f>
        <v>1510.5</v>
      </c>
      <c r="L164" s="60">
        <f>1192.5+318</f>
        <v>1510.5</v>
      </c>
      <c r="M164" s="60">
        <f>1717.2+381.6</f>
        <v>2098.8000000000002</v>
      </c>
      <c r="N164" s="60">
        <f t="shared" si="4"/>
        <v>5119.8</v>
      </c>
      <c r="O164" s="62">
        <v>10000</v>
      </c>
      <c r="P164" s="60">
        <f t="shared" si="5"/>
        <v>15119.8</v>
      </c>
      <c r="Q164" s="44" t="s">
        <v>41</v>
      </c>
      <c r="R164" s="63">
        <v>44986</v>
      </c>
      <c r="S164" s="63">
        <v>45006</v>
      </c>
      <c r="T164" s="63">
        <v>45008</v>
      </c>
      <c r="U164" s="44"/>
      <c r="V164" s="64"/>
      <c r="W164" s="65">
        <v>45029</v>
      </c>
      <c r="X164" s="66"/>
      <c r="Y164" s="66"/>
      <c r="Z164" s="44" t="s">
        <v>54</v>
      </c>
      <c r="AA164" s="44"/>
    </row>
    <row r="165" spans="1:52" s="67" customFormat="1">
      <c r="A165" s="44">
        <v>152</v>
      </c>
      <c r="B165" s="56" t="s">
        <v>479</v>
      </c>
      <c r="C165" s="44" t="s">
        <v>481</v>
      </c>
      <c r="D165" s="44" t="s">
        <v>482</v>
      </c>
      <c r="E165" s="57" t="s">
        <v>41</v>
      </c>
      <c r="F165" s="69">
        <v>15504006300702</v>
      </c>
      <c r="G165" s="59" t="s">
        <v>483</v>
      </c>
      <c r="H165" s="60">
        <v>18520</v>
      </c>
      <c r="I165" s="61">
        <v>25815</v>
      </c>
      <c r="J165" s="44" t="s">
        <v>37</v>
      </c>
      <c r="K165" s="60">
        <f>2778+740.8</f>
        <v>3518.8</v>
      </c>
      <c r="L165" s="60">
        <v>3518.8</v>
      </c>
      <c r="M165" s="60">
        <f>4000.2+888.94</f>
        <v>4889.1399999999994</v>
      </c>
      <c r="N165" s="60">
        <f t="shared" si="4"/>
        <v>11926.74</v>
      </c>
      <c r="O165" s="62">
        <v>10000</v>
      </c>
      <c r="P165" s="60">
        <f t="shared" si="5"/>
        <v>21926.739999999998</v>
      </c>
      <c r="Q165" s="44" t="s">
        <v>41</v>
      </c>
      <c r="R165" s="63">
        <v>44876</v>
      </c>
      <c r="S165" s="63"/>
      <c r="T165" s="63"/>
      <c r="U165" s="44"/>
      <c r="V165" s="64"/>
      <c r="W165" s="65">
        <v>45029</v>
      </c>
      <c r="X165" s="66"/>
      <c r="Y165" s="66"/>
      <c r="Z165" s="44" t="s">
        <v>54</v>
      </c>
      <c r="AA165" s="44"/>
    </row>
    <row r="166" spans="1:52" s="67" customFormat="1">
      <c r="A166" s="44">
        <v>153</v>
      </c>
      <c r="B166" s="56" t="s">
        <v>479</v>
      </c>
      <c r="C166" s="44" t="s">
        <v>484</v>
      </c>
      <c r="D166" s="44" t="s">
        <v>485</v>
      </c>
      <c r="E166" s="57" t="s">
        <v>41</v>
      </c>
      <c r="F166" s="69">
        <v>15504006300705</v>
      </c>
      <c r="G166" s="59" t="s">
        <v>36</v>
      </c>
      <c r="H166" s="60">
        <v>18380</v>
      </c>
      <c r="I166" s="61">
        <v>23866</v>
      </c>
      <c r="J166" s="44" t="s">
        <v>37</v>
      </c>
      <c r="K166" s="60">
        <f>2573.2+735.2</f>
        <v>3308.3999999999996</v>
      </c>
      <c r="L166" s="60">
        <v>3308.4</v>
      </c>
      <c r="M166" s="60">
        <f>3705.52+882.26</f>
        <v>4587.78</v>
      </c>
      <c r="N166" s="60">
        <f t="shared" si="4"/>
        <v>11204.579999999998</v>
      </c>
      <c r="O166" s="62">
        <v>10000</v>
      </c>
      <c r="P166" s="60">
        <f t="shared" si="5"/>
        <v>21204.579999999998</v>
      </c>
      <c r="Q166" s="44" t="s">
        <v>41</v>
      </c>
      <c r="R166" s="63">
        <v>44876</v>
      </c>
      <c r="S166" s="63"/>
      <c r="T166" s="63"/>
      <c r="U166" s="44"/>
      <c r="V166" s="64"/>
      <c r="W166" s="65">
        <v>45029</v>
      </c>
      <c r="X166" s="66"/>
      <c r="Y166" s="66"/>
      <c r="Z166" s="44" t="s">
        <v>54</v>
      </c>
      <c r="AA166" s="44"/>
    </row>
    <row r="167" spans="1:52" s="67" customFormat="1">
      <c r="A167" s="43">
        <v>154</v>
      </c>
      <c r="B167" s="56" t="s">
        <v>479</v>
      </c>
      <c r="C167" s="44" t="s">
        <v>486</v>
      </c>
      <c r="D167" s="44" t="s">
        <v>487</v>
      </c>
      <c r="E167" s="57" t="s">
        <v>41</v>
      </c>
      <c r="F167" s="69">
        <v>15504006300912</v>
      </c>
      <c r="G167" s="59" t="s">
        <v>488</v>
      </c>
      <c r="H167" s="60">
        <v>30050</v>
      </c>
      <c r="I167" s="61">
        <v>4225</v>
      </c>
      <c r="J167" s="44" t="s">
        <v>37</v>
      </c>
      <c r="K167" s="60">
        <f>4507.5+1202</f>
        <v>5709.5</v>
      </c>
      <c r="L167" s="60">
        <v>5709.5</v>
      </c>
      <c r="M167" s="60">
        <f>6490.8+1442.4</f>
        <v>7933.2000000000007</v>
      </c>
      <c r="N167" s="60">
        <f t="shared" si="4"/>
        <v>19352.2</v>
      </c>
      <c r="O167" s="62">
        <v>10000</v>
      </c>
      <c r="P167" s="60">
        <f t="shared" si="5"/>
        <v>29352.2</v>
      </c>
      <c r="Q167" s="44" t="s">
        <v>41</v>
      </c>
      <c r="R167" s="63">
        <v>44876</v>
      </c>
      <c r="S167" s="63"/>
      <c r="T167" s="63"/>
      <c r="U167" s="44"/>
      <c r="V167" s="64"/>
      <c r="W167" s="65">
        <v>45029</v>
      </c>
      <c r="X167" s="66"/>
      <c r="Y167" s="66"/>
      <c r="Z167" s="44" t="s">
        <v>54</v>
      </c>
      <c r="AA167" s="44"/>
    </row>
    <row r="168" spans="1:52" s="67" customFormat="1">
      <c r="A168" s="44">
        <v>155</v>
      </c>
      <c r="B168" s="56" t="s">
        <v>479</v>
      </c>
      <c r="C168" s="44" t="s">
        <v>489</v>
      </c>
      <c r="D168" s="44" t="s">
        <v>487</v>
      </c>
      <c r="E168" s="57" t="s">
        <v>41</v>
      </c>
      <c r="F168" s="69">
        <v>15504006302112</v>
      </c>
      <c r="G168" s="59" t="s">
        <v>36</v>
      </c>
      <c r="H168" s="60">
        <v>7260</v>
      </c>
      <c r="I168" s="61">
        <v>9434</v>
      </c>
      <c r="J168" s="44" t="s">
        <v>37</v>
      </c>
      <c r="K168" s="60">
        <f>1089+290.4</f>
        <v>1379.4</v>
      </c>
      <c r="L168" s="60">
        <v>1379.4</v>
      </c>
      <c r="M168" s="60">
        <f>1568.1+348.48</f>
        <v>1916.58</v>
      </c>
      <c r="N168" s="60">
        <f t="shared" si="4"/>
        <v>4675.38</v>
      </c>
      <c r="O168" s="62">
        <v>10000</v>
      </c>
      <c r="P168" s="60">
        <f t="shared" si="5"/>
        <v>14675.380000000001</v>
      </c>
      <c r="Q168" s="44" t="s">
        <v>41</v>
      </c>
      <c r="R168" s="63">
        <v>45006</v>
      </c>
      <c r="S168" s="44"/>
      <c r="T168" s="44"/>
      <c r="U168" s="44"/>
      <c r="V168" s="64"/>
      <c r="W168" s="65">
        <v>45029</v>
      </c>
      <c r="X168" s="66"/>
      <c r="Y168" s="66"/>
      <c r="Z168" s="44" t="s">
        <v>54</v>
      </c>
      <c r="AA168" s="44"/>
    </row>
    <row r="169" spans="1:52" s="67" customFormat="1">
      <c r="A169" s="44">
        <v>156</v>
      </c>
      <c r="B169" s="56" t="s">
        <v>479</v>
      </c>
      <c r="C169" s="44" t="s">
        <v>490</v>
      </c>
      <c r="D169" s="44" t="s">
        <v>491</v>
      </c>
      <c r="E169" s="57" t="s">
        <v>41</v>
      </c>
      <c r="F169" s="69">
        <v>15504006301901</v>
      </c>
      <c r="G169" s="59" t="s">
        <v>36</v>
      </c>
      <c r="H169" s="60">
        <v>32880</v>
      </c>
      <c r="I169" s="61">
        <v>42699</v>
      </c>
      <c r="J169" s="44" t="s">
        <v>37</v>
      </c>
      <c r="K169" s="60">
        <f>4932+1315.2</f>
        <v>6247.2</v>
      </c>
      <c r="L169" s="60">
        <v>6247.2</v>
      </c>
      <c r="M169" s="60">
        <f>7102.2+1578.26</f>
        <v>8680.4599999999991</v>
      </c>
      <c r="N169" s="60">
        <f t="shared" si="4"/>
        <v>21174.86</v>
      </c>
      <c r="O169" s="62">
        <v>10000</v>
      </c>
      <c r="P169" s="60">
        <f t="shared" si="5"/>
        <v>31174.86</v>
      </c>
      <c r="Q169" s="44" t="s">
        <v>41</v>
      </c>
      <c r="R169" s="63">
        <v>44986</v>
      </c>
      <c r="S169" s="63">
        <v>44876</v>
      </c>
      <c r="T169" s="63">
        <v>45008</v>
      </c>
      <c r="U169" s="44"/>
      <c r="V169" s="64"/>
      <c r="W169" s="65">
        <v>45029</v>
      </c>
      <c r="X169" s="66"/>
      <c r="Y169" s="66"/>
      <c r="Z169" s="44" t="s">
        <v>54</v>
      </c>
      <c r="AA169" s="44"/>
    </row>
    <row r="170" spans="1:52" s="67" customFormat="1">
      <c r="A170" s="43">
        <v>157</v>
      </c>
      <c r="B170" s="56" t="s">
        <v>479</v>
      </c>
      <c r="C170" s="44" t="s">
        <v>492</v>
      </c>
      <c r="D170" s="44" t="s">
        <v>493</v>
      </c>
      <c r="E170" s="57" t="s">
        <v>41</v>
      </c>
      <c r="F170" s="69">
        <v>15504006301804</v>
      </c>
      <c r="G170" s="59" t="s">
        <v>98</v>
      </c>
      <c r="H170" s="60">
        <v>29920</v>
      </c>
      <c r="I170" s="61">
        <v>1870</v>
      </c>
      <c r="J170" s="44" t="s">
        <v>37</v>
      </c>
      <c r="K170" s="60">
        <f>4488+1196.8</f>
        <v>5684.8</v>
      </c>
      <c r="L170" s="60">
        <v>5684.8</v>
      </c>
      <c r="M170" s="60">
        <f>6462.6+1436.14</f>
        <v>7898.7400000000007</v>
      </c>
      <c r="N170" s="60">
        <f t="shared" si="4"/>
        <v>19268.34</v>
      </c>
      <c r="O170" s="62">
        <v>10000</v>
      </c>
      <c r="P170" s="60">
        <f t="shared" si="5"/>
        <v>29268.34</v>
      </c>
      <c r="Q170" s="44" t="s">
        <v>41</v>
      </c>
      <c r="R170" s="63">
        <v>44875</v>
      </c>
      <c r="S170" s="63"/>
      <c r="T170" s="63"/>
      <c r="U170" s="44"/>
      <c r="V170" s="64"/>
      <c r="W170" s="65">
        <v>45029</v>
      </c>
      <c r="X170" s="66"/>
      <c r="Y170" s="66"/>
      <c r="Z170" s="44" t="s">
        <v>54</v>
      </c>
      <c r="AA170" s="44"/>
    </row>
    <row r="171" spans="1:52" s="67" customFormat="1">
      <c r="A171" s="44">
        <v>158</v>
      </c>
      <c r="B171" s="77" t="s">
        <v>479</v>
      </c>
      <c r="C171" s="44" t="s">
        <v>494</v>
      </c>
      <c r="D171" s="44" t="s">
        <v>495</v>
      </c>
      <c r="E171" s="57" t="s">
        <v>41</v>
      </c>
      <c r="F171" s="69">
        <v>15504006300725</v>
      </c>
      <c r="G171" s="59" t="s">
        <v>36</v>
      </c>
      <c r="H171" s="60">
        <v>6560</v>
      </c>
      <c r="I171" s="61">
        <v>8521</v>
      </c>
      <c r="J171" s="44" t="s">
        <v>37</v>
      </c>
      <c r="K171" s="78">
        <f>984+262.4</f>
        <v>1246.4000000000001</v>
      </c>
      <c r="L171" s="78">
        <v>1246.4000000000001</v>
      </c>
      <c r="M171" s="78">
        <f>1416.9+314.88</f>
        <v>1731.7800000000002</v>
      </c>
      <c r="N171" s="60">
        <f t="shared" si="4"/>
        <v>4224.58</v>
      </c>
      <c r="O171" s="62">
        <v>10000</v>
      </c>
      <c r="P171" s="60">
        <f t="shared" si="5"/>
        <v>14224.58</v>
      </c>
      <c r="Q171" s="44" t="s">
        <v>41</v>
      </c>
      <c r="R171" s="63">
        <v>45008</v>
      </c>
      <c r="S171" s="44"/>
      <c r="T171" s="44"/>
      <c r="U171" s="44"/>
      <c r="V171" s="79"/>
      <c r="W171" s="63">
        <v>45029</v>
      </c>
      <c r="X171" s="66"/>
      <c r="Y171" s="66"/>
      <c r="Z171" s="44" t="s">
        <v>54</v>
      </c>
      <c r="AA171" s="44"/>
    </row>
    <row r="172" spans="1:52">
      <c r="A172" s="44">
        <v>159</v>
      </c>
      <c r="B172" s="80" t="s">
        <v>496</v>
      </c>
      <c r="C172" s="44" t="s">
        <v>497</v>
      </c>
      <c r="D172" s="32" t="s">
        <v>498</v>
      </c>
      <c r="E172" s="45" t="s">
        <v>499</v>
      </c>
      <c r="F172" s="46">
        <v>15504008702102</v>
      </c>
      <c r="G172" s="47" t="s">
        <v>36</v>
      </c>
      <c r="H172" s="48">
        <v>345580</v>
      </c>
      <c r="I172" s="49">
        <v>251351</v>
      </c>
      <c r="J172" s="43" t="s">
        <v>92</v>
      </c>
      <c r="K172" s="48">
        <v>24190.6</v>
      </c>
      <c r="L172" s="48">
        <v>24190.6</v>
      </c>
      <c r="M172" s="48">
        <v>31240.46</v>
      </c>
      <c r="N172" s="48">
        <f t="shared" si="4"/>
        <v>79621.66</v>
      </c>
      <c r="O172" s="50">
        <v>10000</v>
      </c>
      <c r="P172" s="48">
        <f t="shared" si="5"/>
        <v>89621.66</v>
      </c>
      <c r="Q172" s="43" t="s">
        <v>499</v>
      </c>
      <c r="R172" s="51">
        <v>44993</v>
      </c>
      <c r="S172" s="51">
        <v>45006</v>
      </c>
      <c r="T172" s="43"/>
      <c r="U172" s="43"/>
      <c r="V172" s="52"/>
      <c r="W172" s="53">
        <v>45036</v>
      </c>
      <c r="X172" s="54"/>
      <c r="Y172" s="54" t="s">
        <v>54</v>
      </c>
      <c r="Z172" s="51">
        <v>45065</v>
      </c>
      <c r="AA172" s="43"/>
    </row>
    <row r="173" spans="1:52">
      <c r="A173" s="43">
        <v>160</v>
      </c>
      <c r="B173" s="80" t="s">
        <v>496</v>
      </c>
      <c r="C173" s="44" t="s">
        <v>500</v>
      </c>
      <c r="D173" s="32">
        <v>22777</v>
      </c>
      <c r="E173" s="45" t="s">
        <v>499</v>
      </c>
      <c r="F173" s="46">
        <v>15504008702107</v>
      </c>
      <c r="G173" s="47" t="s">
        <v>36</v>
      </c>
      <c r="H173" s="48">
        <v>75390</v>
      </c>
      <c r="I173" s="49">
        <v>63707</v>
      </c>
      <c r="J173" s="43" t="s">
        <v>37</v>
      </c>
      <c r="K173" s="48">
        <v>14324.1</v>
      </c>
      <c r="L173" s="48">
        <v>14324.1</v>
      </c>
      <c r="M173" s="48">
        <v>19842.72</v>
      </c>
      <c r="N173" s="48">
        <f t="shared" si="4"/>
        <v>48490.92</v>
      </c>
      <c r="O173" s="50">
        <v>10000</v>
      </c>
      <c r="P173" s="48">
        <f t="shared" si="5"/>
        <v>58490.92</v>
      </c>
      <c r="Q173" s="43" t="s">
        <v>499</v>
      </c>
      <c r="R173" s="51">
        <v>44993</v>
      </c>
      <c r="S173" s="51">
        <v>45006</v>
      </c>
      <c r="T173" s="43"/>
      <c r="U173" s="43"/>
      <c r="V173" s="52"/>
      <c r="W173" s="53">
        <v>45036</v>
      </c>
      <c r="X173" s="54"/>
      <c r="Y173" s="54" t="s">
        <v>54</v>
      </c>
      <c r="Z173" s="51">
        <v>45065</v>
      </c>
      <c r="AA173" s="43"/>
    </row>
    <row r="174" spans="1:52">
      <c r="A174" s="44">
        <v>161</v>
      </c>
      <c r="B174" s="80" t="s">
        <v>496</v>
      </c>
      <c r="C174" s="44" t="s">
        <v>501</v>
      </c>
      <c r="D174" s="32" t="s">
        <v>502</v>
      </c>
      <c r="E174" s="45" t="s">
        <v>499</v>
      </c>
      <c r="F174" s="46">
        <v>15504008702708</v>
      </c>
      <c r="G174" s="47" t="s">
        <v>119</v>
      </c>
      <c r="H174" s="48">
        <v>71170</v>
      </c>
      <c r="I174" s="49">
        <v>4448</v>
      </c>
      <c r="J174" s="43" t="s">
        <v>37</v>
      </c>
      <c r="K174" s="48">
        <v>13522.3</v>
      </c>
      <c r="L174" s="48">
        <v>13522.3</v>
      </c>
      <c r="M174" s="48">
        <v>18731.82</v>
      </c>
      <c r="N174" s="48">
        <f t="shared" si="4"/>
        <v>45776.42</v>
      </c>
      <c r="O174" s="50">
        <v>10000</v>
      </c>
      <c r="P174" s="48">
        <f t="shared" si="5"/>
        <v>55776.42</v>
      </c>
      <c r="Q174" s="43" t="s">
        <v>499</v>
      </c>
      <c r="R174" s="51">
        <v>44993</v>
      </c>
      <c r="S174" s="51">
        <v>45006</v>
      </c>
      <c r="T174" s="43"/>
      <c r="U174" s="43"/>
      <c r="V174" s="52"/>
      <c r="W174" s="53">
        <v>45036</v>
      </c>
      <c r="X174" s="54"/>
      <c r="Y174" s="54" t="s">
        <v>54</v>
      </c>
      <c r="Z174" s="51">
        <v>45065</v>
      </c>
      <c r="AA174" s="43"/>
    </row>
    <row r="175" spans="1:52">
      <c r="A175" s="44">
        <v>162</v>
      </c>
      <c r="B175" s="80" t="s">
        <v>496</v>
      </c>
      <c r="C175" s="44" t="s">
        <v>503</v>
      </c>
      <c r="D175" s="32" t="s">
        <v>504</v>
      </c>
      <c r="E175" s="45" t="s">
        <v>499</v>
      </c>
      <c r="F175" s="46">
        <v>15504008702405</v>
      </c>
      <c r="G175" s="47" t="s">
        <v>119</v>
      </c>
      <c r="H175" s="48">
        <v>58260</v>
      </c>
      <c r="I175" s="49">
        <v>3641</v>
      </c>
      <c r="J175" s="43" t="s">
        <v>37</v>
      </c>
      <c r="K175" s="48">
        <v>11069.4</v>
      </c>
      <c r="L175" s="48">
        <v>11069.4</v>
      </c>
      <c r="M175" s="48">
        <v>15333.96</v>
      </c>
      <c r="N175" s="48">
        <f t="shared" si="4"/>
        <v>37472.759999999995</v>
      </c>
      <c r="O175" s="50">
        <v>10000</v>
      </c>
      <c r="P175" s="48">
        <f t="shared" si="5"/>
        <v>47472.759999999995</v>
      </c>
      <c r="Q175" s="43" t="s">
        <v>499</v>
      </c>
      <c r="R175" s="51">
        <v>44993</v>
      </c>
      <c r="S175" s="51">
        <v>45006</v>
      </c>
      <c r="T175" s="43"/>
      <c r="U175" s="43"/>
      <c r="V175" s="52"/>
      <c r="W175" s="53">
        <v>45036</v>
      </c>
      <c r="X175" s="54"/>
      <c r="Y175" s="54" t="s">
        <v>54</v>
      </c>
      <c r="Z175" s="51">
        <v>45065</v>
      </c>
      <c r="AA175" s="43"/>
    </row>
    <row r="176" spans="1:52">
      <c r="A176" s="43">
        <v>163</v>
      </c>
      <c r="B176" s="33" t="s">
        <v>505</v>
      </c>
      <c r="C176" s="44" t="s">
        <v>506</v>
      </c>
      <c r="D176" s="43"/>
      <c r="E176" s="45" t="s">
        <v>46</v>
      </c>
      <c r="F176" s="46">
        <v>15504007601034</v>
      </c>
      <c r="G176" s="92" t="s">
        <v>507</v>
      </c>
      <c r="H176" s="48">
        <v>60000</v>
      </c>
      <c r="I176" s="49">
        <v>2000</v>
      </c>
      <c r="J176" s="43" t="s">
        <v>37</v>
      </c>
      <c r="K176" s="48">
        <v>11400</v>
      </c>
      <c r="L176" s="48">
        <v>11400</v>
      </c>
      <c r="M176" s="48">
        <v>15840</v>
      </c>
      <c r="N176" s="48">
        <f t="shared" si="4"/>
        <v>38640</v>
      </c>
      <c r="O176" s="50">
        <v>10000</v>
      </c>
      <c r="P176" s="48">
        <f t="shared" si="5"/>
        <v>48640</v>
      </c>
      <c r="Q176" s="43" t="s">
        <v>46</v>
      </c>
      <c r="R176" s="51">
        <v>44965</v>
      </c>
      <c r="S176" s="51">
        <v>45012</v>
      </c>
      <c r="T176" s="43"/>
      <c r="U176" s="43"/>
      <c r="V176" s="52"/>
      <c r="W176" s="53">
        <v>45042</v>
      </c>
      <c r="X176" s="54"/>
      <c r="Y176" s="54" t="s">
        <v>54</v>
      </c>
      <c r="Z176" s="51">
        <v>45063</v>
      </c>
      <c r="AA176" s="43"/>
    </row>
    <row r="177" spans="1:27" s="67" customFormat="1">
      <c r="A177" s="44">
        <v>164</v>
      </c>
      <c r="B177" s="56" t="s">
        <v>508</v>
      </c>
      <c r="C177" s="44" t="s">
        <v>509</v>
      </c>
      <c r="D177" s="44" t="s">
        <v>510</v>
      </c>
      <c r="E177" s="100" t="s">
        <v>222</v>
      </c>
      <c r="F177" s="69"/>
      <c r="G177" s="59" t="s">
        <v>511</v>
      </c>
      <c r="H177" s="60">
        <v>469220</v>
      </c>
      <c r="I177" s="61">
        <v>16758</v>
      </c>
      <c r="J177" s="44" t="s">
        <v>512</v>
      </c>
      <c r="K177" s="60">
        <v>89151.8</v>
      </c>
      <c r="L177" s="60">
        <v>89151.8</v>
      </c>
      <c r="M177" s="60">
        <v>123498.58</v>
      </c>
      <c r="N177" s="60">
        <f t="shared" si="4"/>
        <v>301802.18</v>
      </c>
      <c r="O177" s="62">
        <v>10000</v>
      </c>
      <c r="P177" s="60">
        <f t="shared" si="5"/>
        <v>311802.18</v>
      </c>
      <c r="Q177" s="44" t="s">
        <v>222</v>
      </c>
      <c r="R177" s="63">
        <v>44984</v>
      </c>
      <c r="S177" s="63">
        <v>44873</v>
      </c>
      <c r="T177" s="63"/>
      <c r="U177" s="44"/>
      <c r="V177" s="64"/>
      <c r="W177" s="65">
        <v>45034</v>
      </c>
      <c r="X177" s="66"/>
      <c r="Y177" s="66" t="s">
        <v>54</v>
      </c>
      <c r="Z177" s="44"/>
      <c r="AA177" s="44"/>
    </row>
    <row r="178" spans="1:27">
      <c r="A178" s="44">
        <v>165</v>
      </c>
      <c r="B178" s="33" t="s">
        <v>513</v>
      </c>
      <c r="C178" s="44" t="s">
        <v>514</v>
      </c>
      <c r="D178" s="43" t="s">
        <v>515</v>
      </c>
      <c r="E178" s="45" t="s">
        <v>165</v>
      </c>
      <c r="F178" s="46">
        <v>15504002901722</v>
      </c>
      <c r="G178" s="43" t="s">
        <v>119</v>
      </c>
      <c r="H178" s="48">
        <v>17220</v>
      </c>
      <c r="I178" s="43">
        <v>410</v>
      </c>
      <c r="J178" s="43" t="s">
        <v>37</v>
      </c>
      <c r="K178" s="48">
        <f>2583+688.8</f>
        <v>3271.8</v>
      </c>
      <c r="L178" s="48">
        <v>3271.8</v>
      </c>
      <c r="M178" s="48">
        <f>1859.7+406.39</f>
        <v>2266.09</v>
      </c>
      <c r="N178" s="48">
        <f t="shared" si="4"/>
        <v>8809.69</v>
      </c>
      <c r="O178" s="50">
        <v>10000</v>
      </c>
      <c r="P178" s="48">
        <f t="shared" si="5"/>
        <v>18809.690000000002</v>
      </c>
      <c r="Q178" s="43" t="s">
        <v>165</v>
      </c>
      <c r="R178" s="51">
        <v>44959</v>
      </c>
      <c r="S178" s="51">
        <v>45007</v>
      </c>
      <c r="T178" s="43"/>
      <c r="U178" s="43"/>
      <c r="V178" s="52"/>
      <c r="W178" s="53">
        <v>45019</v>
      </c>
      <c r="X178" s="54"/>
      <c r="Y178" s="54"/>
      <c r="Z178" s="46" t="s">
        <v>54</v>
      </c>
      <c r="AA178" s="43"/>
    </row>
    <row r="179" spans="1:27">
      <c r="A179" s="43">
        <v>166</v>
      </c>
      <c r="B179" s="33" t="s">
        <v>516</v>
      </c>
      <c r="C179" s="44" t="s">
        <v>517</v>
      </c>
      <c r="D179" s="32" t="s">
        <v>518</v>
      </c>
      <c r="E179" s="45" t="s">
        <v>499</v>
      </c>
      <c r="F179" s="46">
        <v>15504008701303</v>
      </c>
      <c r="G179" s="47" t="s">
        <v>36</v>
      </c>
      <c r="H179" s="48">
        <v>32520</v>
      </c>
      <c r="I179" s="49">
        <v>31276</v>
      </c>
      <c r="J179" s="43" t="s">
        <v>37</v>
      </c>
      <c r="K179" s="48">
        <v>6178.8</v>
      </c>
      <c r="L179" s="48">
        <v>6178.8</v>
      </c>
      <c r="M179" s="48">
        <v>8599.14</v>
      </c>
      <c r="N179" s="48">
        <f t="shared" si="4"/>
        <v>20956.739999999998</v>
      </c>
      <c r="O179" s="50">
        <v>10000</v>
      </c>
      <c r="P179" s="48">
        <f t="shared" si="5"/>
        <v>30956.739999999998</v>
      </c>
      <c r="Q179" s="43" t="s">
        <v>499</v>
      </c>
      <c r="R179" s="51">
        <v>45000</v>
      </c>
      <c r="S179" s="43"/>
      <c r="T179" s="43"/>
      <c r="U179" s="43"/>
      <c r="V179" s="52"/>
      <c r="W179" s="53">
        <v>45040</v>
      </c>
      <c r="X179" s="54"/>
      <c r="Y179" s="54" t="s">
        <v>54</v>
      </c>
      <c r="Z179" s="51">
        <v>45068</v>
      </c>
      <c r="AA179" s="43"/>
    </row>
    <row r="180" spans="1:27">
      <c r="A180" s="44">
        <v>167</v>
      </c>
      <c r="B180" s="33" t="s">
        <v>519</v>
      </c>
      <c r="C180" s="44" t="s">
        <v>520</v>
      </c>
      <c r="D180" s="32"/>
      <c r="E180" s="45" t="s">
        <v>499</v>
      </c>
      <c r="F180" s="46">
        <v>15504008701308</v>
      </c>
      <c r="G180" s="47" t="s">
        <v>157</v>
      </c>
      <c r="H180" s="48">
        <v>44800</v>
      </c>
      <c r="I180" s="49"/>
      <c r="J180" s="43" t="s">
        <v>37</v>
      </c>
      <c r="K180" s="71">
        <f>6720+1792</f>
        <v>8512</v>
      </c>
      <c r="L180" s="71">
        <v>8512</v>
      </c>
      <c r="M180" s="71">
        <f>4838.4+4838.4+1075.2+1075.2</f>
        <v>11827.2</v>
      </c>
      <c r="N180" s="48">
        <f t="shared" si="4"/>
        <v>28851.200000000001</v>
      </c>
      <c r="O180" s="50">
        <v>10000</v>
      </c>
      <c r="P180" s="48">
        <f t="shared" si="5"/>
        <v>38851.199999999997</v>
      </c>
      <c r="Q180" s="43" t="s">
        <v>499</v>
      </c>
      <c r="R180" s="51">
        <v>45006</v>
      </c>
      <c r="S180" s="43"/>
      <c r="T180" s="43"/>
      <c r="U180" s="43"/>
      <c r="V180" s="43"/>
      <c r="W180" s="51"/>
      <c r="X180" s="54"/>
      <c r="Y180" s="93" t="s">
        <v>521</v>
      </c>
      <c r="Z180" s="51">
        <v>45068</v>
      </c>
      <c r="AA180" s="43"/>
    </row>
    <row r="181" spans="1:27" s="67" customFormat="1" ht="22.5">
      <c r="A181" s="44">
        <v>168</v>
      </c>
      <c r="B181" s="56" t="s">
        <v>522</v>
      </c>
      <c r="C181" s="44" t="s">
        <v>523</v>
      </c>
      <c r="D181" s="44">
        <v>12128</v>
      </c>
      <c r="E181" s="57" t="s">
        <v>161</v>
      </c>
      <c r="F181" s="69">
        <v>15504004702504</v>
      </c>
      <c r="G181" s="101" t="s">
        <v>173</v>
      </c>
      <c r="H181" s="60">
        <v>64330</v>
      </c>
      <c r="I181" s="61">
        <v>374</v>
      </c>
      <c r="J181" s="44" t="s">
        <v>37</v>
      </c>
      <c r="K181" s="78">
        <f>9649.5+2573.2</f>
        <v>12222.7</v>
      </c>
      <c r="L181" s="78">
        <f>9649.5+2573.2</f>
        <v>12222.7</v>
      </c>
      <c r="M181" s="78">
        <f>13895.4+3036.38</f>
        <v>16931.78</v>
      </c>
      <c r="N181" s="60">
        <f t="shared" si="4"/>
        <v>41377.18</v>
      </c>
      <c r="O181" s="62">
        <v>10000</v>
      </c>
      <c r="P181" s="60">
        <f t="shared" si="5"/>
        <v>51377.18</v>
      </c>
      <c r="Q181" s="44" t="s">
        <v>161</v>
      </c>
      <c r="R181" s="63">
        <v>45007</v>
      </c>
      <c r="S181" s="44"/>
      <c r="T181" s="44"/>
      <c r="U181" s="44"/>
      <c r="V181" s="79"/>
      <c r="W181" s="63">
        <v>45028</v>
      </c>
      <c r="X181" s="66"/>
      <c r="Y181" s="66"/>
      <c r="Z181" s="44" t="s">
        <v>54</v>
      </c>
      <c r="AA181" s="63">
        <v>45072</v>
      </c>
    </row>
    <row r="182" spans="1:27" s="67" customFormat="1" ht="22.5">
      <c r="A182" s="43">
        <v>169</v>
      </c>
      <c r="B182" s="56" t="s">
        <v>522</v>
      </c>
      <c r="C182" s="44" t="s">
        <v>524</v>
      </c>
      <c r="D182" s="44">
        <v>2573</v>
      </c>
      <c r="E182" s="91" t="s">
        <v>161</v>
      </c>
      <c r="F182" s="46">
        <v>15504004702518</v>
      </c>
      <c r="G182" s="101" t="s">
        <v>173</v>
      </c>
      <c r="H182" s="60">
        <v>27690</v>
      </c>
      <c r="I182" s="61">
        <v>161</v>
      </c>
      <c r="J182" s="44" t="s">
        <v>37</v>
      </c>
      <c r="K182" s="78">
        <f>4153.5+1107.6</f>
        <v>5261.1</v>
      </c>
      <c r="L182" s="78">
        <f>4153.5+1107.6</f>
        <v>5261.1</v>
      </c>
      <c r="M182" s="78">
        <f>5981.1+1306.98</f>
        <v>7288.08</v>
      </c>
      <c r="N182" s="60">
        <f t="shared" si="4"/>
        <v>17810.28</v>
      </c>
      <c r="O182" s="62">
        <v>10000</v>
      </c>
      <c r="P182" s="60">
        <f t="shared" si="5"/>
        <v>27810.28</v>
      </c>
      <c r="Q182" s="44" t="s">
        <v>161</v>
      </c>
      <c r="R182" s="63">
        <v>45007</v>
      </c>
      <c r="S182" s="44"/>
      <c r="T182" s="44"/>
      <c r="U182" s="44"/>
      <c r="V182" s="79"/>
      <c r="W182" s="63">
        <v>45028</v>
      </c>
      <c r="X182" s="66"/>
      <c r="Y182" s="66"/>
      <c r="Z182" s="44" t="s">
        <v>54</v>
      </c>
      <c r="AA182" s="44"/>
    </row>
    <row r="183" spans="1:27" s="67" customFormat="1">
      <c r="A183" s="44">
        <v>170</v>
      </c>
      <c r="B183" s="56" t="s">
        <v>525</v>
      </c>
      <c r="C183" s="44" t="s">
        <v>526</v>
      </c>
      <c r="D183" s="44" t="s">
        <v>527</v>
      </c>
      <c r="E183" s="68" t="s">
        <v>79</v>
      </c>
      <c r="F183" s="69">
        <v>15504004901204</v>
      </c>
      <c r="G183" s="59" t="s">
        <v>36</v>
      </c>
      <c r="H183" s="60">
        <v>6060</v>
      </c>
      <c r="I183" s="61">
        <v>7865</v>
      </c>
      <c r="J183" s="44" t="s">
        <v>63</v>
      </c>
      <c r="K183" s="60">
        <v>848.4</v>
      </c>
      <c r="L183" s="60">
        <v>848.4</v>
      </c>
      <c r="M183" s="60">
        <v>1158.6199999999999</v>
      </c>
      <c r="N183" s="60">
        <f t="shared" si="4"/>
        <v>2855.42</v>
      </c>
      <c r="O183" s="62">
        <v>10000</v>
      </c>
      <c r="P183" s="60">
        <f t="shared" si="5"/>
        <v>12855.42</v>
      </c>
      <c r="Q183" s="44" t="s">
        <v>79</v>
      </c>
      <c r="R183" s="63">
        <v>44985</v>
      </c>
      <c r="S183" s="63">
        <v>45007</v>
      </c>
      <c r="T183" s="44"/>
      <c r="U183" s="44"/>
      <c r="V183" s="64"/>
      <c r="W183" s="65">
        <v>45028</v>
      </c>
      <c r="X183" s="66"/>
      <c r="Y183" s="66"/>
      <c r="Z183" s="44" t="s">
        <v>54</v>
      </c>
      <c r="AA183" s="44"/>
    </row>
    <row r="184" spans="1:27" s="67" customFormat="1">
      <c r="A184" s="44">
        <v>171</v>
      </c>
      <c r="B184" s="56" t="s">
        <v>528</v>
      </c>
      <c r="C184" s="44" t="s">
        <v>529</v>
      </c>
      <c r="D184" s="44" t="s">
        <v>530</v>
      </c>
      <c r="E184" s="68" t="s">
        <v>145</v>
      </c>
      <c r="F184" s="69">
        <v>15504003300710</v>
      </c>
      <c r="G184" s="59" t="s">
        <v>47</v>
      </c>
      <c r="H184" s="60">
        <v>4160</v>
      </c>
      <c r="I184" s="61">
        <v>99</v>
      </c>
      <c r="J184" s="44" t="s">
        <v>324</v>
      </c>
      <c r="K184" s="60">
        <v>332.8</v>
      </c>
      <c r="L184" s="60">
        <v>332.8</v>
      </c>
      <c r="M184" s="60">
        <v>435.94</v>
      </c>
      <c r="N184" s="60">
        <f t="shared" si="4"/>
        <v>1101.54</v>
      </c>
      <c r="O184" s="62">
        <v>10000</v>
      </c>
      <c r="P184" s="60">
        <f t="shared" si="5"/>
        <v>11101.54</v>
      </c>
      <c r="Q184" s="44" t="s">
        <v>145</v>
      </c>
      <c r="R184" s="63">
        <v>44979</v>
      </c>
      <c r="S184" s="63">
        <v>45008</v>
      </c>
      <c r="T184" s="44"/>
      <c r="U184" s="44"/>
      <c r="V184" s="64"/>
      <c r="W184" s="65">
        <v>45029</v>
      </c>
      <c r="X184" s="66"/>
      <c r="Y184" s="66"/>
      <c r="Z184" s="44" t="s">
        <v>49</v>
      </c>
      <c r="AA184" s="44"/>
    </row>
    <row r="185" spans="1:27">
      <c r="A185" s="43">
        <v>172</v>
      </c>
      <c r="B185" s="33" t="s">
        <v>531</v>
      </c>
      <c r="C185" s="44" t="s">
        <v>532</v>
      </c>
      <c r="D185" s="43" t="s">
        <v>533</v>
      </c>
      <c r="E185" s="45" t="s">
        <v>413</v>
      </c>
      <c r="F185" s="46">
        <v>15504010800620</v>
      </c>
      <c r="G185" s="47" t="s">
        <v>68</v>
      </c>
      <c r="H185" s="48">
        <v>40520</v>
      </c>
      <c r="I185" s="49">
        <v>1447</v>
      </c>
      <c r="J185" s="43" t="s">
        <v>37</v>
      </c>
      <c r="K185" s="48">
        <v>7698.8</v>
      </c>
      <c r="L185" s="48">
        <v>7698.8</v>
      </c>
      <c r="M185" s="48">
        <v>10664.74</v>
      </c>
      <c r="N185" s="48">
        <f t="shared" si="4"/>
        <v>26062.34</v>
      </c>
      <c r="O185" s="50">
        <v>10000</v>
      </c>
      <c r="P185" s="48">
        <f t="shared" si="5"/>
        <v>36062.339999999997</v>
      </c>
      <c r="Q185" s="43" t="s">
        <v>413</v>
      </c>
      <c r="R185" s="51">
        <v>44988</v>
      </c>
      <c r="S185" s="51">
        <v>45006</v>
      </c>
      <c r="T185" s="43"/>
      <c r="U185" s="43"/>
      <c r="V185" s="52"/>
      <c r="W185" s="53"/>
      <c r="X185" s="54"/>
      <c r="Y185" s="54"/>
      <c r="Z185" s="43"/>
      <c r="AA185" s="43"/>
    </row>
    <row r="186" spans="1:27">
      <c r="A186" s="44">
        <v>173</v>
      </c>
      <c r="B186" s="33" t="s">
        <v>534</v>
      </c>
      <c r="C186" s="44" t="s">
        <v>535</v>
      </c>
      <c r="D186" s="43">
        <v>37060</v>
      </c>
      <c r="E186" s="45" t="s">
        <v>87</v>
      </c>
      <c r="F186" s="46">
        <v>15504006901502</v>
      </c>
      <c r="G186" s="47" t="s">
        <v>47</v>
      </c>
      <c r="H186" s="48">
        <v>20840</v>
      </c>
      <c r="I186" s="49">
        <v>1737</v>
      </c>
      <c r="J186" s="43" t="s">
        <v>273</v>
      </c>
      <c r="K186" s="48">
        <v>2292.4</v>
      </c>
      <c r="L186" s="48">
        <v>2292.4</v>
      </c>
      <c r="M186" s="48">
        <f>1542.18+1542.18</f>
        <v>3084.36</v>
      </c>
      <c r="N186" s="48">
        <f t="shared" si="4"/>
        <v>7669.16</v>
      </c>
      <c r="O186" s="50">
        <v>10000</v>
      </c>
      <c r="P186" s="48">
        <f t="shared" si="5"/>
        <v>17669.16</v>
      </c>
      <c r="Q186" s="43" t="s">
        <v>87</v>
      </c>
      <c r="R186" s="51">
        <v>44897</v>
      </c>
      <c r="S186" s="51">
        <v>45014</v>
      </c>
      <c r="T186" s="51"/>
      <c r="U186" s="43"/>
      <c r="V186" s="52"/>
      <c r="W186" s="53"/>
      <c r="X186" s="54"/>
      <c r="Y186" s="54"/>
      <c r="Z186" s="43"/>
      <c r="AA186" s="43"/>
    </row>
    <row r="187" spans="1:27">
      <c r="A187" s="44">
        <v>174</v>
      </c>
      <c r="B187" s="33" t="s">
        <v>536</v>
      </c>
      <c r="C187" s="44" t="s">
        <v>537</v>
      </c>
      <c r="D187" s="43">
        <v>37059</v>
      </c>
      <c r="E187" s="45" t="s">
        <v>87</v>
      </c>
      <c r="F187" s="46">
        <v>15504006901504</v>
      </c>
      <c r="G187" s="47" t="s">
        <v>47</v>
      </c>
      <c r="H187" s="48">
        <v>20830</v>
      </c>
      <c r="I187" s="49">
        <v>1736</v>
      </c>
      <c r="J187" s="43" t="s">
        <v>42</v>
      </c>
      <c r="K187" s="48">
        <f>3124.5+624.9</f>
        <v>3749.4</v>
      </c>
      <c r="L187" s="48">
        <v>3749.4</v>
      </c>
      <c r="M187" s="48">
        <f>2249.7+2249.7+341.61+341.61</f>
        <v>5182.619999999999</v>
      </c>
      <c r="N187" s="48">
        <f t="shared" si="4"/>
        <v>12681.419999999998</v>
      </c>
      <c r="O187" s="50">
        <v>10000</v>
      </c>
      <c r="P187" s="48">
        <f t="shared" si="5"/>
        <v>22681.42</v>
      </c>
      <c r="Q187" s="43" t="s">
        <v>87</v>
      </c>
      <c r="R187" s="51">
        <v>44897</v>
      </c>
      <c r="S187" s="51">
        <v>45014</v>
      </c>
      <c r="T187" s="51"/>
      <c r="U187" s="43"/>
      <c r="V187" s="52"/>
      <c r="W187" s="53"/>
      <c r="X187" s="54"/>
      <c r="Y187" s="54"/>
      <c r="Z187" s="43"/>
      <c r="AA187" s="43"/>
    </row>
    <row r="188" spans="1:27" s="67" customFormat="1">
      <c r="A188" s="43">
        <v>175</v>
      </c>
      <c r="B188" s="56" t="s">
        <v>538</v>
      </c>
      <c r="C188" s="44" t="s">
        <v>539</v>
      </c>
      <c r="D188" s="44" t="s">
        <v>540</v>
      </c>
      <c r="E188" s="100" t="s">
        <v>541</v>
      </c>
      <c r="F188" s="69">
        <v>15504004401321</v>
      </c>
      <c r="G188" s="59" t="s">
        <v>47</v>
      </c>
      <c r="H188" s="60">
        <v>6030</v>
      </c>
      <c r="I188" s="61">
        <v>67</v>
      </c>
      <c r="J188" s="44" t="s">
        <v>37</v>
      </c>
      <c r="K188" s="60">
        <v>1145.7</v>
      </c>
      <c r="L188" s="60">
        <v>1145.7</v>
      </c>
      <c r="M188" s="60">
        <v>1587.22</v>
      </c>
      <c r="N188" s="60">
        <f t="shared" si="4"/>
        <v>3878.62</v>
      </c>
      <c r="O188" s="62">
        <v>10000</v>
      </c>
      <c r="P188" s="60">
        <f t="shared" si="5"/>
        <v>13878.619999999999</v>
      </c>
      <c r="Q188" s="44" t="s">
        <v>541</v>
      </c>
      <c r="R188" s="63">
        <v>45002</v>
      </c>
      <c r="S188" s="63">
        <v>44881</v>
      </c>
      <c r="T188" s="44"/>
      <c r="U188" s="63"/>
      <c r="V188" s="64"/>
      <c r="W188" s="65">
        <v>45029</v>
      </c>
      <c r="X188" s="66"/>
      <c r="Y188" s="66"/>
      <c r="Z188" s="44" t="s">
        <v>54</v>
      </c>
      <c r="AA188" s="44"/>
    </row>
    <row r="189" spans="1:27" s="67" customFormat="1">
      <c r="A189" s="44">
        <v>176</v>
      </c>
      <c r="B189" s="56" t="s">
        <v>542</v>
      </c>
      <c r="C189" s="44" t="s">
        <v>543</v>
      </c>
      <c r="D189" s="44" t="s">
        <v>544</v>
      </c>
      <c r="E189" s="68" t="s">
        <v>292</v>
      </c>
      <c r="F189" s="69">
        <v>15504004900814</v>
      </c>
      <c r="G189" s="92" t="s">
        <v>545</v>
      </c>
      <c r="H189" s="60">
        <v>21670</v>
      </c>
      <c r="I189" s="61">
        <v>774</v>
      </c>
      <c r="J189" s="44" t="s">
        <v>37</v>
      </c>
      <c r="K189" s="60">
        <v>4117.3</v>
      </c>
      <c r="L189" s="60">
        <v>4117.3</v>
      </c>
      <c r="M189" s="60">
        <v>5703.42</v>
      </c>
      <c r="N189" s="60">
        <f t="shared" si="4"/>
        <v>13938.02</v>
      </c>
      <c r="O189" s="62">
        <v>10000</v>
      </c>
      <c r="P189" s="60">
        <f t="shared" si="5"/>
        <v>23938.02</v>
      </c>
      <c r="Q189" s="44" t="s">
        <v>292</v>
      </c>
      <c r="R189" s="63">
        <v>44874</v>
      </c>
      <c r="S189" s="63"/>
      <c r="T189" s="63"/>
      <c r="U189" s="44"/>
      <c r="V189" s="64"/>
      <c r="W189" s="65"/>
      <c r="X189" s="66"/>
      <c r="Y189" s="66" t="s">
        <v>49</v>
      </c>
      <c r="Z189" s="44"/>
      <c r="AA189" s="44"/>
    </row>
    <row r="190" spans="1:27" s="67" customFormat="1">
      <c r="A190" s="44">
        <v>177</v>
      </c>
      <c r="B190" s="56" t="s">
        <v>542</v>
      </c>
      <c r="C190" s="44" t="s">
        <v>546</v>
      </c>
      <c r="D190" s="44" t="s">
        <v>547</v>
      </c>
      <c r="E190" s="68" t="s">
        <v>292</v>
      </c>
      <c r="F190" s="69">
        <v>15504004900603</v>
      </c>
      <c r="G190" s="92" t="s">
        <v>545</v>
      </c>
      <c r="H190" s="60">
        <v>21620</v>
      </c>
      <c r="I190" s="61">
        <v>772</v>
      </c>
      <c r="J190" s="44" t="s">
        <v>37</v>
      </c>
      <c r="K190" s="60">
        <v>4107.8</v>
      </c>
      <c r="L190" s="60">
        <v>4107.8</v>
      </c>
      <c r="M190" s="60">
        <v>5690.26</v>
      </c>
      <c r="N190" s="60">
        <f t="shared" si="4"/>
        <v>13905.86</v>
      </c>
      <c r="O190" s="62">
        <v>10000</v>
      </c>
      <c r="P190" s="60">
        <f t="shared" si="5"/>
        <v>23905.86</v>
      </c>
      <c r="Q190" s="44" t="s">
        <v>292</v>
      </c>
      <c r="R190" s="63">
        <v>44874</v>
      </c>
      <c r="S190" s="63">
        <v>45006</v>
      </c>
      <c r="T190" s="63"/>
      <c r="U190" s="44"/>
      <c r="V190" s="64"/>
      <c r="W190" s="65"/>
      <c r="X190" s="66"/>
      <c r="Y190" s="66" t="s">
        <v>49</v>
      </c>
      <c r="Z190" s="44"/>
      <c r="AA190" s="44"/>
    </row>
    <row r="191" spans="1:27">
      <c r="A191" s="43">
        <v>178</v>
      </c>
      <c r="B191" s="33" t="s">
        <v>548</v>
      </c>
      <c r="C191" s="44" t="s">
        <v>549</v>
      </c>
      <c r="D191" s="82" t="s">
        <v>550</v>
      </c>
      <c r="E191" s="81" t="s">
        <v>211</v>
      </c>
      <c r="F191" s="46">
        <v>15504008300411</v>
      </c>
      <c r="G191" s="47" t="s">
        <v>36</v>
      </c>
      <c r="H191" s="48">
        <v>17460</v>
      </c>
      <c r="I191" s="49">
        <v>32758</v>
      </c>
      <c r="J191" s="43" t="s">
        <v>37</v>
      </c>
      <c r="K191" s="48">
        <v>3317.4</v>
      </c>
      <c r="L191" s="48">
        <v>3317.4</v>
      </c>
      <c r="M191" s="48">
        <v>4595.3999999999996</v>
      </c>
      <c r="N191" s="48">
        <f t="shared" si="4"/>
        <v>11230.2</v>
      </c>
      <c r="O191" s="50">
        <v>10000</v>
      </c>
      <c r="P191" s="48">
        <f t="shared" si="5"/>
        <v>21230.2</v>
      </c>
      <c r="Q191" s="43" t="s">
        <v>211</v>
      </c>
      <c r="R191" s="51">
        <v>44901</v>
      </c>
      <c r="S191" s="51">
        <v>45015</v>
      </c>
      <c r="T191" s="51"/>
      <c r="U191" s="43"/>
      <c r="V191" s="52"/>
      <c r="W191" s="53"/>
      <c r="X191" s="54"/>
      <c r="Y191" s="54" t="s">
        <v>54</v>
      </c>
      <c r="Z191" s="51">
        <v>45068</v>
      </c>
      <c r="AA191" s="43"/>
    </row>
    <row r="192" spans="1:27">
      <c r="A192" s="44">
        <v>179</v>
      </c>
      <c r="B192" s="33" t="s">
        <v>551</v>
      </c>
      <c r="C192" s="44" t="s">
        <v>552</v>
      </c>
      <c r="D192" s="43" t="s">
        <v>553</v>
      </c>
      <c r="E192" s="45" t="s">
        <v>398</v>
      </c>
      <c r="F192" s="46">
        <v>15504006100305</v>
      </c>
      <c r="G192" s="47" t="s">
        <v>36</v>
      </c>
      <c r="H192" s="48">
        <v>22040</v>
      </c>
      <c r="I192" s="49">
        <v>39401</v>
      </c>
      <c r="J192" s="43" t="s">
        <v>37</v>
      </c>
      <c r="K192" s="48">
        <v>4187.6000000000004</v>
      </c>
      <c r="L192" s="48">
        <v>4187.6000000000004</v>
      </c>
      <c r="M192" s="48">
        <v>5818.62</v>
      </c>
      <c r="N192" s="48">
        <f t="shared" si="4"/>
        <v>14193.82</v>
      </c>
      <c r="O192" s="50">
        <v>10000</v>
      </c>
      <c r="P192" s="48">
        <f t="shared" si="5"/>
        <v>24193.82</v>
      </c>
      <c r="Q192" s="43" t="s">
        <v>398</v>
      </c>
      <c r="R192" s="51">
        <v>44890</v>
      </c>
      <c r="S192" s="51">
        <v>45015</v>
      </c>
      <c r="T192" s="51"/>
      <c r="U192" s="43"/>
      <c r="V192" s="52"/>
      <c r="W192" s="53">
        <v>45034</v>
      </c>
      <c r="X192" s="54"/>
      <c r="Y192" s="54" t="s">
        <v>54</v>
      </c>
      <c r="Z192" s="51">
        <v>45070</v>
      </c>
      <c r="AA192" s="43"/>
    </row>
    <row r="193" spans="1:27" s="67" customFormat="1">
      <c r="A193" s="44">
        <v>180</v>
      </c>
      <c r="B193" s="56" t="s">
        <v>554</v>
      </c>
      <c r="C193" s="44" t="s">
        <v>555</v>
      </c>
      <c r="D193" s="44" t="s">
        <v>556</v>
      </c>
      <c r="E193" s="68" t="s">
        <v>307</v>
      </c>
      <c r="F193" s="69">
        <v>15504006602617</v>
      </c>
      <c r="G193" s="59" t="s">
        <v>47</v>
      </c>
      <c r="H193" s="60">
        <v>14840</v>
      </c>
      <c r="I193" s="61">
        <v>231</v>
      </c>
      <c r="J193" s="44" t="s">
        <v>37</v>
      </c>
      <c r="K193" s="60">
        <f>2226+593.6</f>
        <v>2819.6</v>
      </c>
      <c r="L193" s="60">
        <v>2819.6</v>
      </c>
      <c r="M193" s="60">
        <f>3205.5+700.46</f>
        <v>3905.96</v>
      </c>
      <c r="N193" s="60">
        <f t="shared" si="4"/>
        <v>9545.16</v>
      </c>
      <c r="O193" s="62">
        <v>10000</v>
      </c>
      <c r="P193" s="60">
        <f t="shared" si="5"/>
        <v>19545.16</v>
      </c>
      <c r="Q193" s="44" t="s">
        <v>307</v>
      </c>
      <c r="R193" s="63">
        <v>45001</v>
      </c>
      <c r="S193" s="63">
        <v>44879</v>
      </c>
      <c r="T193" s="63"/>
      <c r="U193" s="44"/>
      <c r="V193" s="64"/>
      <c r="W193" s="65">
        <v>45019</v>
      </c>
      <c r="X193" s="66"/>
      <c r="Y193" s="66"/>
      <c r="Z193" s="44" t="s">
        <v>54</v>
      </c>
      <c r="AA193" s="63">
        <v>45061</v>
      </c>
    </row>
    <row r="194" spans="1:27" s="67" customFormat="1">
      <c r="A194" s="43">
        <v>181</v>
      </c>
      <c r="B194" s="77" t="s">
        <v>557</v>
      </c>
      <c r="C194" s="44" t="s">
        <v>558</v>
      </c>
      <c r="D194" s="44">
        <v>7817</v>
      </c>
      <c r="E194" s="68" t="s">
        <v>35</v>
      </c>
      <c r="F194" s="69">
        <v>15504003201603</v>
      </c>
      <c r="G194" s="59" t="s">
        <v>36</v>
      </c>
      <c r="H194" s="60">
        <v>15350</v>
      </c>
      <c r="I194" s="61">
        <v>19934</v>
      </c>
      <c r="J194" s="44" t="s">
        <v>169</v>
      </c>
      <c r="K194" s="78">
        <v>1074.5</v>
      </c>
      <c r="L194" s="78">
        <v>1074.5</v>
      </c>
      <c r="M194" s="78">
        <v>1387.64</v>
      </c>
      <c r="N194" s="60">
        <f t="shared" si="4"/>
        <v>3536.6400000000003</v>
      </c>
      <c r="O194" s="62">
        <v>10000</v>
      </c>
      <c r="P194" s="60">
        <f t="shared" si="5"/>
        <v>13536.64</v>
      </c>
      <c r="Q194" s="44" t="s">
        <v>35</v>
      </c>
      <c r="R194" s="63">
        <v>45240</v>
      </c>
      <c r="S194" s="63">
        <v>44999</v>
      </c>
      <c r="T194" s="44"/>
      <c r="U194" s="44"/>
      <c r="V194" s="79"/>
      <c r="W194" s="63">
        <v>45029</v>
      </c>
      <c r="X194" s="66"/>
      <c r="Y194" s="66"/>
      <c r="Z194" s="44" t="s">
        <v>38</v>
      </c>
      <c r="AA194" s="44"/>
    </row>
    <row r="195" spans="1:27" s="67" customFormat="1">
      <c r="A195" s="44">
        <v>182</v>
      </c>
      <c r="B195" s="77" t="s">
        <v>557</v>
      </c>
      <c r="C195" s="44" t="s">
        <v>559</v>
      </c>
      <c r="D195" s="44">
        <v>13520</v>
      </c>
      <c r="E195" s="68" t="s">
        <v>35</v>
      </c>
      <c r="F195" s="69">
        <v>15504003200504</v>
      </c>
      <c r="G195" s="59" t="s">
        <v>36</v>
      </c>
      <c r="H195" s="60">
        <v>52950</v>
      </c>
      <c r="I195" s="61">
        <v>68763</v>
      </c>
      <c r="J195" s="44" t="s">
        <v>169</v>
      </c>
      <c r="K195" s="78">
        <v>3706.5</v>
      </c>
      <c r="L195" s="78">
        <v>3706.5</v>
      </c>
      <c r="M195" s="78">
        <v>4786.68</v>
      </c>
      <c r="N195" s="60">
        <f t="shared" si="4"/>
        <v>12199.68</v>
      </c>
      <c r="O195" s="62">
        <v>10000</v>
      </c>
      <c r="P195" s="60">
        <f t="shared" si="5"/>
        <v>22199.68</v>
      </c>
      <c r="Q195" s="44" t="s">
        <v>35</v>
      </c>
      <c r="R195" s="63">
        <v>45240</v>
      </c>
      <c r="S195" s="63">
        <v>44999</v>
      </c>
      <c r="T195" s="63"/>
      <c r="U195" s="44"/>
      <c r="V195" s="79"/>
      <c r="W195" s="63">
        <v>45027</v>
      </c>
      <c r="X195" s="66"/>
      <c r="Y195" s="66"/>
      <c r="Z195" s="44" t="s">
        <v>38</v>
      </c>
      <c r="AA195" s="44"/>
    </row>
    <row r="196" spans="1:27" s="67" customFormat="1">
      <c r="A196" s="44">
        <v>183</v>
      </c>
      <c r="B196" s="77" t="s">
        <v>557</v>
      </c>
      <c r="C196" s="44" t="s">
        <v>560</v>
      </c>
      <c r="D196" s="44">
        <v>7751</v>
      </c>
      <c r="E196" s="68" t="s">
        <v>35</v>
      </c>
      <c r="F196" s="69">
        <v>15504003200903</v>
      </c>
      <c r="G196" s="59" t="s">
        <v>36</v>
      </c>
      <c r="H196" s="60">
        <v>48190</v>
      </c>
      <c r="I196" s="61">
        <v>63675</v>
      </c>
      <c r="J196" s="44" t="s">
        <v>169</v>
      </c>
      <c r="K196" s="78">
        <v>3373.3</v>
      </c>
      <c r="L196" s="78">
        <v>3373.3</v>
      </c>
      <c r="M196" s="78">
        <v>4356.3999999999996</v>
      </c>
      <c r="N196" s="60">
        <f t="shared" si="4"/>
        <v>11103</v>
      </c>
      <c r="O196" s="62">
        <v>10000</v>
      </c>
      <c r="P196" s="60">
        <f t="shared" si="5"/>
        <v>21103</v>
      </c>
      <c r="Q196" s="44" t="s">
        <v>35</v>
      </c>
      <c r="R196" s="63">
        <v>45240</v>
      </c>
      <c r="S196" s="63">
        <v>44999</v>
      </c>
      <c r="T196" s="44"/>
      <c r="U196" s="44"/>
      <c r="V196" s="79"/>
      <c r="W196" s="63">
        <v>45027</v>
      </c>
      <c r="X196" s="66"/>
      <c r="Y196" s="66"/>
      <c r="Z196" s="44" t="s">
        <v>38</v>
      </c>
      <c r="AA196" s="44"/>
    </row>
    <row r="197" spans="1:27" s="67" customFormat="1">
      <c r="A197" s="43">
        <v>184</v>
      </c>
      <c r="B197" s="77" t="s">
        <v>557</v>
      </c>
      <c r="C197" s="44" t="s">
        <v>561</v>
      </c>
      <c r="D197" s="44">
        <v>9712</v>
      </c>
      <c r="E197" s="68" t="s">
        <v>35</v>
      </c>
      <c r="F197" s="69">
        <v>15504003200904</v>
      </c>
      <c r="G197" s="59" t="s">
        <v>36</v>
      </c>
      <c r="H197" s="60">
        <v>51840</v>
      </c>
      <c r="I197" s="61">
        <v>67318</v>
      </c>
      <c r="J197" s="44" t="s">
        <v>169</v>
      </c>
      <c r="K197" s="78">
        <v>3628.8</v>
      </c>
      <c r="L197" s="78">
        <v>3628.8</v>
      </c>
      <c r="M197" s="78">
        <v>4686.3599999999997</v>
      </c>
      <c r="N197" s="60">
        <f t="shared" si="4"/>
        <v>11943.96</v>
      </c>
      <c r="O197" s="62">
        <v>10000</v>
      </c>
      <c r="P197" s="60">
        <f t="shared" si="5"/>
        <v>21943.96</v>
      </c>
      <c r="Q197" s="44" t="s">
        <v>35</v>
      </c>
      <c r="R197" s="63">
        <v>45240</v>
      </c>
      <c r="S197" s="63">
        <v>44999</v>
      </c>
      <c r="T197" s="63">
        <v>45000</v>
      </c>
      <c r="U197" s="44"/>
      <c r="V197" s="79"/>
      <c r="W197" s="63">
        <v>45027</v>
      </c>
      <c r="X197" s="66"/>
      <c r="Y197" s="66"/>
      <c r="Z197" s="44" t="s">
        <v>38</v>
      </c>
      <c r="AA197" s="44"/>
    </row>
    <row r="198" spans="1:27" s="67" customFormat="1">
      <c r="A198" s="44">
        <v>185</v>
      </c>
      <c r="B198" s="77" t="s">
        <v>557</v>
      </c>
      <c r="C198" s="44" t="s">
        <v>562</v>
      </c>
      <c r="D198" s="44">
        <v>7697</v>
      </c>
      <c r="E198" s="68" t="s">
        <v>35</v>
      </c>
      <c r="F198" s="69">
        <v>15504003200906</v>
      </c>
      <c r="G198" s="59" t="s">
        <v>36</v>
      </c>
      <c r="H198" s="60">
        <v>46640</v>
      </c>
      <c r="I198" s="61">
        <v>64455</v>
      </c>
      <c r="J198" s="44" t="s">
        <v>169</v>
      </c>
      <c r="K198" s="78">
        <v>3264.8</v>
      </c>
      <c r="L198" s="78">
        <v>3264.8</v>
      </c>
      <c r="M198" s="78">
        <v>4216.28</v>
      </c>
      <c r="N198" s="60">
        <f t="shared" si="4"/>
        <v>10745.880000000001</v>
      </c>
      <c r="O198" s="62">
        <v>10000</v>
      </c>
      <c r="P198" s="60">
        <f t="shared" si="5"/>
        <v>20745.88</v>
      </c>
      <c r="Q198" s="44" t="s">
        <v>35</v>
      </c>
      <c r="R198" s="63">
        <v>45240</v>
      </c>
      <c r="S198" s="63">
        <v>44999</v>
      </c>
      <c r="T198" s="44"/>
      <c r="U198" s="44"/>
      <c r="V198" s="79"/>
      <c r="W198" s="63">
        <v>45027</v>
      </c>
      <c r="X198" s="66"/>
      <c r="Y198" s="66"/>
      <c r="Z198" s="44" t="s">
        <v>38</v>
      </c>
      <c r="AA198" s="44"/>
    </row>
    <row r="199" spans="1:27" s="67" customFormat="1">
      <c r="A199" s="44">
        <v>186</v>
      </c>
      <c r="B199" s="77" t="s">
        <v>557</v>
      </c>
      <c r="C199" s="44" t="s">
        <v>563</v>
      </c>
      <c r="D199" s="44">
        <v>5090</v>
      </c>
      <c r="E199" s="68" t="s">
        <v>35</v>
      </c>
      <c r="F199" s="69">
        <v>15504003201002</v>
      </c>
      <c r="G199" s="59" t="s">
        <v>36</v>
      </c>
      <c r="H199" s="60">
        <v>2600</v>
      </c>
      <c r="I199" s="61">
        <v>5905</v>
      </c>
      <c r="J199" s="44" t="s">
        <v>169</v>
      </c>
      <c r="K199" s="78">
        <v>182</v>
      </c>
      <c r="L199" s="78">
        <v>182</v>
      </c>
      <c r="M199" s="78">
        <v>235.04</v>
      </c>
      <c r="N199" s="60">
        <f t="shared" si="4"/>
        <v>599.04</v>
      </c>
      <c r="O199" s="62">
        <v>10000</v>
      </c>
      <c r="P199" s="60">
        <f t="shared" si="5"/>
        <v>10599.04</v>
      </c>
      <c r="Q199" s="44" t="s">
        <v>35</v>
      </c>
      <c r="R199" s="63">
        <v>45240</v>
      </c>
      <c r="S199" s="63">
        <v>44999</v>
      </c>
      <c r="T199" s="44"/>
      <c r="U199" s="44"/>
      <c r="V199" s="79"/>
      <c r="W199" s="63">
        <v>45027</v>
      </c>
      <c r="X199" s="66"/>
      <c r="Y199" s="66"/>
      <c r="Z199" s="44" t="s">
        <v>38</v>
      </c>
      <c r="AA199" s="44"/>
    </row>
    <row r="200" spans="1:27" s="67" customFormat="1">
      <c r="A200" s="43">
        <v>187</v>
      </c>
      <c r="B200" s="77" t="s">
        <v>557</v>
      </c>
      <c r="C200" s="44" t="s">
        <v>564</v>
      </c>
      <c r="D200" s="44">
        <v>7476</v>
      </c>
      <c r="E200" s="68" t="s">
        <v>35</v>
      </c>
      <c r="F200" s="69">
        <v>15504003200802</v>
      </c>
      <c r="G200" s="102" t="s">
        <v>36</v>
      </c>
      <c r="H200" s="60">
        <v>38040</v>
      </c>
      <c r="I200" s="61">
        <v>71373</v>
      </c>
      <c r="J200" s="44" t="s">
        <v>169</v>
      </c>
      <c r="K200" s="78">
        <v>2662.8</v>
      </c>
      <c r="L200" s="78">
        <v>2662.8</v>
      </c>
      <c r="M200" s="78">
        <v>3438.84</v>
      </c>
      <c r="N200" s="60">
        <f t="shared" si="4"/>
        <v>8764.44</v>
      </c>
      <c r="O200" s="62">
        <v>10000</v>
      </c>
      <c r="P200" s="60">
        <f t="shared" si="5"/>
        <v>18764.440000000002</v>
      </c>
      <c r="Q200" s="44" t="s">
        <v>35</v>
      </c>
      <c r="R200" s="63">
        <v>45240</v>
      </c>
      <c r="S200" s="63">
        <v>44999</v>
      </c>
      <c r="T200" s="44"/>
      <c r="U200" s="44"/>
      <c r="V200" s="79"/>
      <c r="W200" s="63">
        <v>45027</v>
      </c>
      <c r="X200" s="66"/>
      <c r="Y200" s="66"/>
      <c r="Z200" s="44" t="s">
        <v>38</v>
      </c>
      <c r="AA200" s="44"/>
    </row>
    <row r="201" spans="1:27" s="67" customFormat="1">
      <c r="A201" s="44">
        <v>188</v>
      </c>
      <c r="B201" s="77" t="s">
        <v>557</v>
      </c>
      <c r="C201" s="44" t="s">
        <v>565</v>
      </c>
      <c r="D201" s="44">
        <v>5085</v>
      </c>
      <c r="E201" s="68" t="s">
        <v>35</v>
      </c>
      <c r="F201" s="69">
        <v>15504003200701</v>
      </c>
      <c r="G201" s="102" t="s">
        <v>36</v>
      </c>
      <c r="H201" s="60">
        <v>5370</v>
      </c>
      <c r="I201" s="61">
        <v>12631</v>
      </c>
      <c r="J201" s="44" t="s">
        <v>169</v>
      </c>
      <c r="K201" s="78">
        <v>375.9</v>
      </c>
      <c r="L201" s="78">
        <v>375.9</v>
      </c>
      <c r="M201" s="78">
        <v>485.42</v>
      </c>
      <c r="N201" s="60">
        <f t="shared" si="4"/>
        <v>1237.22</v>
      </c>
      <c r="O201" s="62">
        <v>10000</v>
      </c>
      <c r="P201" s="60">
        <f t="shared" si="5"/>
        <v>11237.22</v>
      </c>
      <c r="Q201" s="44" t="s">
        <v>35</v>
      </c>
      <c r="R201" s="63">
        <v>45240</v>
      </c>
      <c r="S201" s="63">
        <v>44999</v>
      </c>
      <c r="T201" s="44"/>
      <c r="U201" s="44"/>
      <c r="V201" s="79"/>
      <c r="W201" s="63">
        <v>45027</v>
      </c>
      <c r="X201" s="66"/>
      <c r="Y201" s="66"/>
      <c r="Z201" s="44" t="s">
        <v>38</v>
      </c>
      <c r="AA201" s="44"/>
    </row>
    <row r="202" spans="1:27" s="67" customFormat="1">
      <c r="A202" s="44">
        <v>189</v>
      </c>
      <c r="B202" s="77" t="s">
        <v>557</v>
      </c>
      <c r="C202" s="44" t="s">
        <v>566</v>
      </c>
      <c r="D202" s="44">
        <v>7878</v>
      </c>
      <c r="E202" s="68" t="s">
        <v>35</v>
      </c>
      <c r="F202" s="69">
        <v>15504003200601</v>
      </c>
      <c r="G202" s="59" t="s">
        <v>36</v>
      </c>
      <c r="H202" s="60">
        <v>17430</v>
      </c>
      <c r="I202" s="61">
        <v>31125</v>
      </c>
      <c r="J202" s="44" t="s">
        <v>169</v>
      </c>
      <c r="K202" s="78">
        <v>1220.0999999999999</v>
      </c>
      <c r="L202" s="78">
        <v>1220.0999999999999</v>
      </c>
      <c r="M202" s="78">
        <v>1575.7</v>
      </c>
      <c r="N202" s="60">
        <f t="shared" si="4"/>
        <v>4015.8999999999996</v>
      </c>
      <c r="O202" s="62">
        <v>10000</v>
      </c>
      <c r="P202" s="60">
        <f t="shared" si="5"/>
        <v>14015.9</v>
      </c>
      <c r="Q202" s="44" t="s">
        <v>35</v>
      </c>
      <c r="R202" s="63">
        <v>45240</v>
      </c>
      <c r="S202" s="63">
        <v>44999</v>
      </c>
      <c r="T202" s="44"/>
      <c r="U202" s="44"/>
      <c r="V202" s="79"/>
      <c r="W202" s="63">
        <v>45027</v>
      </c>
      <c r="X202" s="66"/>
      <c r="Y202" s="66"/>
      <c r="Z202" s="44" t="s">
        <v>38</v>
      </c>
      <c r="AA202" s="44"/>
    </row>
    <row r="203" spans="1:27" s="67" customFormat="1">
      <c r="A203" s="43">
        <v>190</v>
      </c>
      <c r="B203" s="77" t="s">
        <v>557</v>
      </c>
      <c r="C203" s="44" t="s">
        <v>567</v>
      </c>
      <c r="D203" s="44">
        <v>13543</v>
      </c>
      <c r="E203" s="68" t="s">
        <v>35</v>
      </c>
      <c r="F203" s="69">
        <v>15504003201202</v>
      </c>
      <c r="G203" s="59" t="s">
        <v>36</v>
      </c>
      <c r="H203" s="60">
        <v>12060</v>
      </c>
      <c r="I203" s="61">
        <v>18146</v>
      </c>
      <c r="J203" s="44" t="s">
        <v>169</v>
      </c>
      <c r="K203" s="78">
        <v>844.2</v>
      </c>
      <c r="L203" s="78">
        <v>844.2</v>
      </c>
      <c r="M203" s="78">
        <v>1090.2</v>
      </c>
      <c r="N203" s="60">
        <f t="shared" si="4"/>
        <v>2778.6000000000004</v>
      </c>
      <c r="O203" s="62">
        <v>10000</v>
      </c>
      <c r="P203" s="60">
        <f t="shared" si="5"/>
        <v>12778.6</v>
      </c>
      <c r="Q203" s="44" t="s">
        <v>35</v>
      </c>
      <c r="R203" s="63">
        <v>45240</v>
      </c>
      <c r="S203" s="63">
        <v>44999</v>
      </c>
      <c r="T203" s="44"/>
      <c r="U203" s="44"/>
      <c r="V203" s="79"/>
      <c r="W203" s="63">
        <v>45027</v>
      </c>
      <c r="X203" s="66"/>
      <c r="Y203" s="66"/>
      <c r="Z203" s="44" t="s">
        <v>38</v>
      </c>
      <c r="AA203" s="44"/>
    </row>
    <row r="204" spans="1:27" s="67" customFormat="1">
      <c r="A204" s="44">
        <v>191</v>
      </c>
      <c r="B204" s="77" t="s">
        <v>557</v>
      </c>
      <c r="C204" s="44" t="s">
        <v>568</v>
      </c>
      <c r="D204" s="44">
        <v>7718</v>
      </c>
      <c r="E204" s="68" t="s">
        <v>35</v>
      </c>
      <c r="F204" s="69">
        <v>15504003200602</v>
      </c>
      <c r="G204" s="59" t="s">
        <v>36</v>
      </c>
      <c r="H204" s="60">
        <v>27860</v>
      </c>
      <c r="I204" s="61">
        <v>39564</v>
      </c>
      <c r="J204" s="44" t="s">
        <v>169</v>
      </c>
      <c r="K204" s="78">
        <v>1950.2</v>
      </c>
      <c r="L204" s="78">
        <v>1950.2</v>
      </c>
      <c r="M204" s="78">
        <v>2518.52</v>
      </c>
      <c r="N204" s="60">
        <f t="shared" si="4"/>
        <v>6418.92</v>
      </c>
      <c r="O204" s="62">
        <v>10000</v>
      </c>
      <c r="P204" s="60">
        <f t="shared" si="5"/>
        <v>16418.919999999998</v>
      </c>
      <c r="Q204" s="44" t="s">
        <v>35</v>
      </c>
      <c r="R204" s="63">
        <v>45240</v>
      </c>
      <c r="S204" s="63">
        <v>44999</v>
      </c>
      <c r="T204" s="44"/>
      <c r="U204" s="44"/>
      <c r="V204" s="79"/>
      <c r="W204" s="63">
        <v>45027</v>
      </c>
      <c r="X204" s="66"/>
      <c r="Y204" s="66"/>
      <c r="Z204" s="44" t="s">
        <v>38</v>
      </c>
      <c r="AA204" s="44"/>
    </row>
    <row r="205" spans="1:27" s="67" customFormat="1">
      <c r="A205" s="44">
        <v>192</v>
      </c>
      <c r="B205" s="77" t="s">
        <v>569</v>
      </c>
      <c r="C205" s="44" t="s">
        <v>570</v>
      </c>
      <c r="D205" s="44" t="s">
        <v>571</v>
      </c>
      <c r="E205" s="68" t="s">
        <v>118</v>
      </c>
      <c r="F205" s="69">
        <v>15504008804501</v>
      </c>
      <c r="G205" s="59" t="s">
        <v>36</v>
      </c>
      <c r="H205" s="60">
        <v>183500</v>
      </c>
      <c r="I205" s="61">
        <v>297179</v>
      </c>
      <c r="J205" s="44" t="s">
        <v>169</v>
      </c>
      <c r="K205" s="60">
        <v>12845</v>
      </c>
      <c r="L205" s="60">
        <v>12845</v>
      </c>
      <c r="M205" s="60">
        <v>16588.400000000001</v>
      </c>
      <c r="N205" s="60">
        <f t="shared" si="4"/>
        <v>42278.400000000001</v>
      </c>
      <c r="O205" s="62">
        <v>10000</v>
      </c>
      <c r="P205" s="60">
        <f t="shared" si="5"/>
        <v>52278.400000000001</v>
      </c>
      <c r="Q205" s="44" t="s">
        <v>118</v>
      </c>
      <c r="R205" s="63">
        <v>44991</v>
      </c>
      <c r="S205" s="63">
        <v>45000</v>
      </c>
      <c r="T205" s="44"/>
      <c r="U205" s="44"/>
      <c r="V205" s="64"/>
      <c r="W205" s="65">
        <v>45036</v>
      </c>
      <c r="X205" s="66"/>
      <c r="Y205" s="66" t="s">
        <v>54</v>
      </c>
      <c r="Z205" s="44"/>
      <c r="AA205" s="44"/>
    </row>
    <row r="206" spans="1:27" s="67" customFormat="1">
      <c r="A206" s="43">
        <v>193</v>
      </c>
      <c r="B206" s="77" t="s">
        <v>572</v>
      </c>
      <c r="C206" s="44" t="s">
        <v>573</v>
      </c>
      <c r="D206" s="44">
        <v>8528</v>
      </c>
      <c r="E206" s="68" t="s">
        <v>574</v>
      </c>
      <c r="F206" s="69">
        <v>15504003600308</v>
      </c>
      <c r="G206" s="59" t="s">
        <v>36</v>
      </c>
      <c r="H206" s="60">
        <v>12870</v>
      </c>
      <c r="I206" s="61">
        <v>16717</v>
      </c>
      <c r="J206" s="44" t="s">
        <v>37</v>
      </c>
      <c r="K206" s="60">
        <v>2445.3000000000002</v>
      </c>
      <c r="L206" s="60">
        <v>2445.3000000000002</v>
      </c>
      <c r="M206" s="60">
        <v>3387.26</v>
      </c>
      <c r="N206" s="60">
        <f t="shared" ref="N206:N269" si="6">K206+L206+M206</f>
        <v>8277.86</v>
      </c>
      <c r="O206" s="62">
        <v>10000</v>
      </c>
      <c r="P206" s="60">
        <f t="shared" ref="P206:P269" si="7">K206+L206+M206+O206</f>
        <v>18277.86</v>
      </c>
      <c r="Q206" s="44" t="s">
        <v>574</v>
      </c>
      <c r="R206" s="63">
        <v>37293</v>
      </c>
      <c r="S206" s="63">
        <v>45000</v>
      </c>
      <c r="T206" s="63">
        <v>44994</v>
      </c>
      <c r="U206" s="63"/>
      <c r="V206" s="65"/>
      <c r="W206" s="65">
        <v>45019</v>
      </c>
      <c r="X206" s="66"/>
      <c r="Y206" s="94"/>
      <c r="Z206" s="44" t="s">
        <v>49</v>
      </c>
      <c r="AA206" s="44"/>
    </row>
    <row r="207" spans="1:27" s="67" customFormat="1">
      <c r="A207" s="44">
        <v>194</v>
      </c>
      <c r="B207" s="77" t="s">
        <v>572</v>
      </c>
      <c r="C207" s="44" t="s">
        <v>575</v>
      </c>
      <c r="D207" s="44">
        <v>14539</v>
      </c>
      <c r="E207" s="68" t="s">
        <v>574</v>
      </c>
      <c r="F207" s="69">
        <v>15504003600307</v>
      </c>
      <c r="G207" s="59" t="s">
        <v>36</v>
      </c>
      <c r="H207" s="60">
        <v>7260</v>
      </c>
      <c r="I207" s="61">
        <v>9760</v>
      </c>
      <c r="J207" s="44" t="s">
        <v>37</v>
      </c>
      <c r="K207" s="60">
        <v>1379.4</v>
      </c>
      <c r="L207" s="60">
        <v>1379.4</v>
      </c>
      <c r="M207" s="60">
        <v>1910.76</v>
      </c>
      <c r="N207" s="60">
        <f t="shared" si="6"/>
        <v>4669.5600000000004</v>
      </c>
      <c r="O207" s="62">
        <v>10000</v>
      </c>
      <c r="P207" s="60">
        <f t="shared" si="7"/>
        <v>14669.560000000001</v>
      </c>
      <c r="Q207" s="44" t="s">
        <v>574</v>
      </c>
      <c r="R207" s="63">
        <v>44963</v>
      </c>
      <c r="S207" s="63">
        <v>45000</v>
      </c>
      <c r="T207" s="63">
        <v>44994</v>
      </c>
      <c r="U207" s="63"/>
      <c r="V207" s="64"/>
      <c r="W207" s="65">
        <v>45019</v>
      </c>
      <c r="X207" s="66"/>
      <c r="Y207" s="94"/>
      <c r="Z207" s="44" t="s">
        <v>49</v>
      </c>
      <c r="AA207" s="44"/>
    </row>
    <row r="208" spans="1:27" s="67" customFormat="1">
      <c r="A208" s="44">
        <v>195</v>
      </c>
      <c r="B208" s="77" t="s">
        <v>572</v>
      </c>
      <c r="C208" s="44" t="s">
        <v>576</v>
      </c>
      <c r="D208" s="44">
        <v>17749</v>
      </c>
      <c r="E208" s="68" t="s">
        <v>574</v>
      </c>
      <c r="F208" s="69">
        <v>15504003600702</v>
      </c>
      <c r="G208" s="59" t="s">
        <v>36</v>
      </c>
      <c r="H208" s="60">
        <v>7240</v>
      </c>
      <c r="I208" s="61">
        <v>12998</v>
      </c>
      <c r="J208" s="44" t="s">
        <v>169</v>
      </c>
      <c r="K208" s="60">
        <v>506.8</v>
      </c>
      <c r="L208" s="60">
        <v>506.8</v>
      </c>
      <c r="M208" s="60">
        <v>654.52</v>
      </c>
      <c r="N208" s="60">
        <f t="shared" si="6"/>
        <v>1668.12</v>
      </c>
      <c r="O208" s="62">
        <v>10000</v>
      </c>
      <c r="P208" s="60">
        <f t="shared" si="7"/>
        <v>11668.119999999999</v>
      </c>
      <c r="Q208" s="44" t="s">
        <v>574</v>
      </c>
      <c r="R208" s="63">
        <v>37293</v>
      </c>
      <c r="S208" s="63">
        <v>45000</v>
      </c>
      <c r="T208" s="63">
        <v>44994</v>
      </c>
      <c r="U208" s="63"/>
      <c r="V208" s="64"/>
      <c r="W208" s="65">
        <v>45019</v>
      </c>
      <c r="X208" s="66"/>
      <c r="Y208" s="94"/>
      <c r="Z208" s="44" t="s">
        <v>49</v>
      </c>
      <c r="AA208" s="44"/>
    </row>
    <row r="209" spans="1:53">
      <c r="A209" s="43">
        <v>196</v>
      </c>
      <c r="B209" s="77" t="s">
        <v>572</v>
      </c>
      <c r="C209" s="44" t="s">
        <v>577</v>
      </c>
      <c r="D209" s="43">
        <v>17748</v>
      </c>
      <c r="E209" s="45" t="s">
        <v>574</v>
      </c>
      <c r="F209" s="46">
        <v>15504003600901</v>
      </c>
      <c r="G209" s="47" t="s">
        <v>36</v>
      </c>
      <c r="H209" s="48">
        <v>23260</v>
      </c>
      <c r="I209" s="49">
        <v>41781</v>
      </c>
      <c r="J209" s="43" t="s">
        <v>37</v>
      </c>
      <c r="K209" s="48">
        <v>4419.3999999999996</v>
      </c>
      <c r="L209" s="48">
        <v>4419.3999999999996</v>
      </c>
      <c r="M209" s="48">
        <v>6121.96</v>
      </c>
      <c r="N209" s="48">
        <f t="shared" si="6"/>
        <v>14960.759999999998</v>
      </c>
      <c r="O209" s="50">
        <v>10000</v>
      </c>
      <c r="P209" s="48">
        <f t="shared" si="7"/>
        <v>24960.76</v>
      </c>
      <c r="Q209" s="43" t="s">
        <v>574</v>
      </c>
      <c r="R209" s="51">
        <v>44963</v>
      </c>
      <c r="S209" s="51">
        <v>45000</v>
      </c>
      <c r="T209" s="51">
        <v>44994</v>
      </c>
      <c r="U209" s="51"/>
      <c r="V209" s="52"/>
      <c r="W209" s="53">
        <v>45019</v>
      </c>
      <c r="X209" s="54"/>
      <c r="Y209" s="73"/>
      <c r="Z209" s="43" t="s">
        <v>49</v>
      </c>
      <c r="AA209" s="43"/>
    </row>
    <row r="210" spans="1:53">
      <c r="A210" s="44">
        <v>197</v>
      </c>
      <c r="B210" s="77" t="s">
        <v>572</v>
      </c>
      <c r="C210" s="44" t="s">
        <v>578</v>
      </c>
      <c r="D210" s="43">
        <v>17997</v>
      </c>
      <c r="E210" s="45" t="s">
        <v>574</v>
      </c>
      <c r="F210" s="46">
        <v>15504003600902</v>
      </c>
      <c r="G210" s="91" t="s">
        <v>36</v>
      </c>
      <c r="H210" s="48">
        <v>23270</v>
      </c>
      <c r="I210" s="49">
        <v>41782</v>
      </c>
      <c r="J210" s="43" t="s">
        <v>63</v>
      </c>
      <c r="K210" s="48">
        <v>3257.8</v>
      </c>
      <c r="L210" s="48">
        <v>3257.8</v>
      </c>
      <c r="M210" s="48">
        <v>4449.1400000000003</v>
      </c>
      <c r="N210" s="48">
        <f t="shared" si="6"/>
        <v>10964.740000000002</v>
      </c>
      <c r="O210" s="50">
        <v>10000</v>
      </c>
      <c r="P210" s="48">
        <f t="shared" si="7"/>
        <v>20964.740000000002</v>
      </c>
      <c r="Q210" s="43" t="s">
        <v>574</v>
      </c>
      <c r="R210" s="51">
        <v>44963</v>
      </c>
      <c r="S210" s="51">
        <v>45000</v>
      </c>
      <c r="T210" s="51">
        <v>44994</v>
      </c>
      <c r="U210" s="51"/>
      <c r="V210" s="52"/>
      <c r="W210" s="53">
        <v>45019</v>
      </c>
      <c r="X210" s="54"/>
      <c r="Y210" s="73"/>
      <c r="Z210" s="43" t="s">
        <v>54</v>
      </c>
      <c r="AA210" s="43"/>
      <c r="AZ210" s="55">
        <v>10000</v>
      </c>
      <c r="BA210" s="103">
        <v>45092</v>
      </c>
    </row>
    <row r="211" spans="1:53">
      <c r="A211" s="44">
        <v>198</v>
      </c>
      <c r="B211" s="77" t="s">
        <v>572</v>
      </c>
      <c r="C211" s="44" t="s">
        <v>579</v>
      </c>
      <c r="D211" s="43">
        <v>7477</v>
      </c>
      <c r="E211" s="45" t="s">
        <v>574</v>
      </c>
      <c r="F211" s="46">
        <v>15504003600401</v>
      </c>
      <c r="G211" s="47" t="s">
        <v>36</v>
      </c>
      <c r="H211" s="48">
        <v>32820</v>
      </c>
      <c r="I211" s="49">
        <v>42626</v>
      </c>
      <c r="J211" s="43" t="s">
        <v>273</v>
      </c>
      <c r="K211" s="48">
        <v>2953.8</v>
      </c>
      <c r="L211" s="48">
        <v>2953.8</v>
      </c>
      <c r="M211" s="48">
        <v>3912.1</v>
      </c>
      <c r="N211" s="48">
        <f t="shared" si="6"/>
        <v>9819.7000000000007</v>
      </c>
      <c r="O211" s="50">
        <v>10000</v>
      </c>
      <c r="P211" s="48">
        <f t="shared" si="7"/>
        <v>19819.7</v>
      </c>
      <c r="Q211" s="43" t="s">
        <v>574</v>
      </c>
      <c r="R211" s="51">
        <v>44963</v>
      </c>
      <c r="S211" s="51">
        <v>45000</v>
      </c>
      <c r="T211" s="51">
        <v>44994</v>
      </c>
      <c r="U211" s="51"/>
      <c r="V211" s="52"/>
      <c r="W211" s="53">
        <v>45020</v>
      </c>
      <c r="X211" s="54"/>
      <c r="Y211" s="73"/>
      <c r="Z211" s="43" t="s">
        <v>54</v>
      </c>
      <c r="AA211" s="43"/>
    </row>
    <row r="212" spans="1:53">
      <c r="A212" s="43">
        <v>199</v>
      </c>
      <c r="B212" s="77" t="s">
        <v>572</v>
      </c>
      <c r="C212" s="44" t="s">
        <v>580</v>
      </c>
      <c r="D212" s="43">
        <v>13589</v>
      </c>
      <c r="E212" s="45" t="s">
        <v>574</v>
      </c>
      <c r="F212" s="46">
        <v>15504003600404</v>
      </c>
      <c r="G212" s="47" t="s">
        <v>36</v>
      </c>
      <c r="H212" s="48">
        <v>57460</v>
      </c>
      <c r="I212" s="49">
        <v>74619</v>
      </c>
      <c r="J212" s="43" t="s">
        <v>42</v>
      </c>
      <c r="K212" s="48">
        <v>10342.799999999999</v>
      </c>
      <c r="L212" s="48">
        <v>10342.799999999999</v>
      </c>
      <c r="M212" s="48">
        <v>14295.98</v>
      </c>
      <c r="N212" s="48">
        <f t="shared" si="6"/>
        <v>34981.58</v>
      </c>
      <c r="O212" s="50">
        <v>10000</v>
      </c>
      <c r="P212" s="48">
        <f t="shared" si="7"/>
        <v>44981.58</v>
      </c>
      <c r="Q212" s="43" t="s">
        <v>574</v>
      </c>
      <c r="R212" s="51">
        <v>44963</v>
      </c>
      <c r="S212" s="51">
        <v>45000</v>
      </c>
      <c r="T212" s="51">
        <v>44994</v>
      </c>
      <c r="U212" s="51"/>
      <c r="V212" s="52"/>
      <c r="W212" s="53">
        <v>45019</v>
      </c>
      <c r="X212" s="54"/>
      <c r="Y212" s="73"/>
      <c r="Z212" s="43" t="s">
        <v>54</v>
      </c>
      <c r="AA212" s="43"/>
    </row>
    <row r="213" spans="1:53">
      <c r="A213" s="44">
        <v>200</v>
      </c>
      <c r="B213" s="77" t="s">
        <v>572</v>
      </c>
      <c r="C213" s="44" t="s">
        <v>581</v>
      </c>
      <c r="D213" s="43" t="s">
        <v>300</v>
      </c>
      <c r="E213" s="45" t="s">
        <v>176</v>
      </c>
      <c r="F213" s="46">
        <v>15504004601502</v>
      </c>
      <c r="G213" s="47" t="s">
        <v>36</v>
      </c>
      <c r="H213" s="48">
        <v>38540</v>
      </c>
      <c r="I213" s="49">
        <v>51216</v>
      </c>
      <c r="J213" s="43" t="s">
        <v>42</v>
      </c>
      <c r="K213" s="71">
        <f>5781+770</f>
        <v>6551</v>
      </c>
      <c r="L213" s="71">
        <v>6551</v>
      </c>
      <c r="M213" s="71">
        <f>8324.72+709.14</f>
        <v>9033.8599999999988</v>
      </c>
      <c r="N213" s="48">
        <f t="shared" si="6"/>
        <v>22135.86</v>
      </c>
      <c r="O213" s="50">
        <v>10000</v>
      </c>
      <c r="P213" s="48">
        <f t="shared" si="7"/>
        <v>32135.86</v>
      </c>
      <c r="Q213" s="43" t="s">
        <v>176</v>
      </c>
      <c r="R213" s="51">
        <v>45000</v>
      </c>
      <c r="S213" s="51">
        <v>45014</v>
      </c>
      <c r="T213" s="43"/>
      <c r="U213" s="43"/>
      <c r="V213" s="72"/>
      <c r="W213" s="51">
        <v>45027</v>
      </c>
      <c r="X213" s="54"/>
      <c r="Y213" s="54"/>
      <c r="Z213" s="43" t="s">
        <v>54</v>
      </c>
      <c r="AA213" s="43"/>
    </row>
    <row r="214" spans="1:53" s="67" customFormat="1" ht="19.5" customHeight="1">
      <c r="A214" s="44">
        <v>201</v>
      </c>
      <c r="B214" s="104" t="s">
        <v>582</v>
      </c>
      <c r="C214" s="44" t="s">
        <v>583</v>
      </c>
      <c r="D214" s="44">
        <v>16759</v>
      </c>
      <c r="E214" s="100" t="s">
        <v>222</v>
      </c>
      <c r="F214" s="69">
        <v>15504004801617</v>
      </c>
      <c r="G214" s="92" t="s">
        <v>584</v>
      </c>
      <c r="H214" s="60">
        <v>10470</v>
      </c>
      <c r="I214" s="61">
        <v>374</v>
      </c>
      <c r="J214" s="44" t="s">
        <v>92</v>
      </c>
      <c r="K214" s="60">
        <v>628.20000000000005</v>
      </c>
      <c r="L214" s="60">
        <v>628.20000000000005</v>
      </c>
      <c r="M214" s="60">
        <v>795.7</v>
      </c>
      <c r="N214" s="60">
        <f t="shared" si="6"/>
        <v>2052.1000000000004</v>
      </c>
      <c r="O214" s="62">
        <v>10000</v>
      </c>
      <c r="P214" s="60">
        <f t="shared" si="7"/>
        <v>12052.1</v>
      </c>
      <c r="Q214" s="44" t="s">
        <v>222</v>
      </c>
      <c r="R214" s="63">
        <v>44984</v>
      </c>
      <c r="S214" s="63">
        <v>45006</v>
      </c>
      <c r="T214" s="44"/>
      <c r="U214" s="44"/>
      <c r="V214" s="64"/>
      <c r="W214" s="65">
        <v>45036</v>
      </c>
      <c r="X214" s="66"/>
      <c r="Y214" s="66" t="s">
        <v>54</v>
      </c>
      <c r="Z214" s="44"/>
      <c r="AA214" s="44"/>
    </row>
    <row r="215" spans="1:53">
      <c r="A215" s="43">
        <v>202</v>
      </c>
      <c r="B215" s="77" t="s">
        <v>572</v>
      </c>
      <c r="C215" s="44" t="s">
        <v>585</v>
      </c>
      <c r="D215" s="43">
        <v>13549</v>
      </c>
      <c r="E215" s="81" t="s">
        <v>222</v>
      </c>
      <c r="F215" s="46">
        <v>15504004801009</v>
      </c>
      <c r="G215" s="47" t="s">
        <v>36</v>
      </c>
      <c r="H215" s="48">
        <v>17880</v>
      </c>
      <c r="I215" s="49">
        <v>22701</v>
      </c>
      <c r="J215" s="43" t="s">
        <v>169</v>
      </c>
      <c r="K215" s="48">
        <v>715.2</v>
      </c>
      <c r="L215" s="48">
        <v>715.2</v>
      </c>
      <c r="M215" s="48">
        <v>843.94</v>
      </c>
      <c r="N215" s="48">
        <f t="shared" si="6"/>
        <v>2274.34</v>
      </c>
      <c r="O215" s="50">
        <v>10000</v>
      </c>
      <c r="P215" s="48">
        <f t="shared" si="7"/>
        <v>12274.34</v>
      </c>
      <c r="Q215" s="43" t="s">
        <v>222</v>
      </c>
      <c r="R215" s="51">
        <v>44984</v>
      </c>
      <c r="S215" s="51">
        <v>45006</v>
      </c>
      <c r="T215" s="43"/>
      <c r="U215" s="43"/>
      <c r="V215" s="52"/>
      <c r="W215" s="53">
        <v>45034</v>
      </c>
      <c r="X215" s="54"/>
      <c r="Y215" s="54" t="s">
        <v>54</v>
      </c>
      <c r="Z215" s="43"/>
      <c r="AA215" s="43"/>
    </row>
    <row r="216" spans="1:53">
      <c r="A216" s="44">
        <v>203</v>
      </c>
      <c r="B216" s="77" t="s">
        <v>572</v>
      </c>
      <c r="C216" s="44" t="s">
        <v>586</v>
      </c>
      <c r="D216" s="43">
        <v>16767</v>
      </c>
      <c r="E216" s="45" t="s">
        <v>587</v>
      </c>
      <c r="F216" s="46">
        <v>15504006402302</v>
      </c>
      <c r="G216" s="47" t="s">
        <v>36</v>
      </c>
      <c r="H216" s="48">
        <v>73900</v>
      </c>
      <c r="I216" s="49">
        <v>93843</v>
      </c>
      <c r="J216" s="43" t="s">
        <v>169</v>
      </c>
      <c r="K216" s="48">
        <v>5173</v>
      </c>
      <c r="L216" s="48">
        <v>5173</v>
      </c>
      <c r="M216" s="48">
        <v>6739.68</v>
      </c>
      <c r="N216" s="48">
        <f t="shared" si="6"/>
        <v>17085.68</v>
      </c>
      <c r="O216" s="50">
        <v>10000</v>
      </c>
      <c r="P216" s="48">
        <f t="shared" si="7"/>
        <v>27085.68</v>
      </c>
      <c r="Q216" s="43" t="s">
        <v>587</v>
      </c>
      <c r="R216" s="51">
        <v>44889</v>
      </c>
      <c r="S216" s="51">
        <v>45002</v>
      </c>
      <c r="T216" s="51"/>
      <c r="U216" s="43"/>
      <c r="V216" s="52"/>
      <c r="W216" s="53">
        <v>45036</v>
      </c>
      <c r="X216" s="54"/>
      <c r="Y216" s="54" t="s">
        <v>588</v>
      </c>
      <c r="Z216" s="51">
        <v>45068</v>
      </c>
      <c r="AA216" s="43"/>
    </row>
    <row r="217" spans="1:53">
      <c r="A217" s="44">
        <v>204</v>
      </c>
      <c r="B217" s="77" t="s">
        <v>572</v>
      </c>
      <c r="C217" s="44" t="s">
        <v>589</v>
      </c>
      <c r="D217" s="43">
        <v>13544</v>
      </c>
      <c r="E217" s="45" t="s">
        <v>87</v>
      </c>
      <c r="F217" s="46">
        <v>15504006900902</v>
      </c>
      <c r="G217" s="47" t="s">
        <v>36</v>
      </c>
      <c r="H217" s="48">
        <v>40990</v>
      </c>
      <c r="I217" s="49">
        <v>54467</v>
      </c>
      <c r="J217" s="43" t="s">
        <v>42</v>
      </c>
      <c r="K217" s="48">
        <f>14756.4/2</f>
        <v>7378.2</v>
      </c>
      <c r="L217" s="48">
        <v>7378.2</v>
      </c>
      <c r="M217" s="48">
        <v>10198.379999999999</v>
      </c>
      <c r="N217" s="48">
        <f t="shared" si="6"/>
        <v>24954.78</v>
      </c>
      <c r="O217" s="50">
        <v>10000</v>
      </c>
      <c r="P217" s="48">
        <f t="shared" si="7"/>
        <v>34954.78</v>
      </c>
      <c r="Q217" s="43" t="s">
        <v>87</v>
      </c>
      <c r="R217" s="51">
        <v>44991</v>
      </c>
      <c r="S217" s="51">
        <v>45000</v>
      </c>
      <c r="T217" s="43"/>
      <c r="U217" s="43"/>
      <c r="V217" s="52"/>
      <c r="W217" s="53"/>
      <c r="X217" s="54"/>
      <c r="Y217" s="54" t="s">
        <v>54</v>
      </c>
      <c r="Z217" s="51">
        <v>45058</v>
      </c>
      <c r="AA217" s="43"/>
    </row>
    <row r="218" spans="1:53">
      <c r="A218" s="43">
        <v>205</v>
      </c>
      <c r="B218" s="77" t="s">
        <v>572</v>
      </c>
      <c r="C218" s="44" t="s">
        <v>590</v>
      </c>
      <c r="D218" s="43">
        <v>6184</v>
      </c>
      <c r="E218" s="45" t="s">
        <v>87</v>
      </c>
      <c r="F218" s="46">
        <v>15504006902009</v>
      </c>
      <c r="G218" s="47" t="s">
        <v>36</v>
      </c>
      <c r="H218" s="48">
        <v>47160</v>
      </c>
      <c r="I218" s="49">
        <v>47724</v>
      </c>
      <c r="J218" s="43" t="s">
        <v>42</v>
      </c>
      <c r="K218" s="48">
        <f>16977.6/2</f>
        <v>8488.7999999999993</v>
      </c>
      <c r="L218" s="48">
        <v>8488.7999999999993</v>
      </c>
      <c r="M218" s="48">
        <v>11733.34</v>
      </c>
      <c r="N218" s="48">
        <f t="shared" si="6"/>
        <v>28710.94</v>
      </c>
      <c r="O218" s="50">
        <v>10000</v>
      </c>
      <c r="P218" s="48">
        <f t="shared" si="7"/>
        <v>38710.94</v>
      </c>
      <c r="Q218" s="43" t="s">
        <v>87</v>
      </c>
      <c r="R218" s="51">
        <v>44991</v>
      </c>
      <c r="S218" s="51">
        <v>45000</v>
      </c>
      <c r="T218" s="43"/>
      <c r="U218" s="43"/>
      <c r="V218" s="52"/>
      <c r="W218" s="53"/>
      <c r="X218" s="54"/>
      <c r="Y218" s="54" t="s">
        <v>54</v>
      </c>
      <c r="Z218" s="51">
        <v>45058</v>
      </c>
      <c r="AA218" s="43"/>
    </row>
    <row r="219" spans="1:53">
      <c r="A219" s="44">
        <v>206</v>
      </c>
      <c r="B219" s="77" t="s">
        <v>572</v>
      </c>
      <c r="C219" s="44" t="s">
        <v>591</v>
      </c>
      <c r="D219" s="43">
        <v>9500</v>
      </c>
      <c r="E219" s="45" t="s">
        <v>87</v>
      </c>
      <c r="F219" s="46">
        <v>15504006902501</v>
      </c>
      <c r="G219" s="47" t="s">
        <v>36</v>
      </c>
      <c r="H219" s="48">
        <v>48100</v>
      </c>
      <c r="I219" s="49">
        <v>64683</v>
      </c>
      <c r="J219" s="43" t="s">
        <v>42</v>
      </c>
      <c r="K219" s="48">
        <v>8658</v>
      </c>
      <c r="L219" s="48">
        <v>8658</v>
      </c>
      <c r="M219" s="48">
        <v>11967.28</v>
      </c>
      <c r="N219" s="48">
        <f t="shared" si="6"/>
        <v>29283.279999999999</v>
      </c>
      <c r="O219" s="50">
        <v>10000</v>
      </c>
      <c r="P219" s="48">
        <f t="shared" si="7"/>
        <v>39283.279999999999</v>
      </c>
      <c r="Q219" s="43" t="s">
        <v>87</v>
      </c>
      <c r="R219" s="51">
        <v>44991</v>
      </c>
      <c r="S219" s="51">
        <v>45000</v>
      </c>
      <c r="T219" s="43"/>
      <c r="U219" s="43"/>
      <c r="V219" s="52"/>
      <c r="W219" s="53"/>
      <c r="X219" s="54"/>
      <c r="Y219" s="54"/>
      <c r="Z219" s="43"/>
      <c r="AA219" s="43"/>
    </row>
    <row r="220" spans="1:53">
      <c r="A220" s="44">
        <v>207</v>
      </c>
      <c r="B220" s="77" t="s">
        <v>592</v>
      </c>
      <c r="C220" s="44" t="s">
        <v>593</v>
      </c>
      <c r="D220" s="43">
        <v>6514</v>
      </c>
      <c r="E220" s="45" t="s">
        <v>594</v>
      </c>
      <c r="F220" s="46">
        <v>15504008100217</v>
      </c>
      <c r="G220" s="47" t="s">
        <v>36</v>
      </c>
      <c r="H220" s="48">
        <v>204200</v>
      </c>
      <c r="I220" s="49">
        <v>277193</v>
      </c>
      <c r="J220" s="43" t="s">
        <v>169</v>
      </c>
      <c r="K220" s="48">
        <v>14294</v>
      </c>
      <c r="L220" s="48">
        <v>14294</v>
      </c>
      <c r="M220" s="48">
        <v>18459.68</v>
      </c>
      <c r="N220" s="48">
        <f t="shared" si="6"/>
        <v>47047.68</v>
      </c>
      <c r="O220" s="50">
        <v>10000</v>
      </c>
      <c r="P220" s="48">
        <f t="shared" si="7"/>
        <v>57047.68</v>
      </c>
      <c r="Q220" s="43" t="s">
        <v>594</v>
      </c>
      <c r="R220" s="51">
        <v>44991</v>
      </c>
      <c r="S220" s="51">
        <v>44889</v>
      </c>
      <c r="T220" s="51">
        <v>45005</v>
      </c>
      <c r="U220" s="51">
        <v>45000</v>
      </c>
      <c r="V220" s="52"/>
      <c r="W220" s="53">
        <v>45036</v>
      </c>
      <c r="X220" s="54"/>
      <c r="Y220" s="54"/>
      <c r="Z220" s="43"/>
      <c r="AA220" s="43"/>
    </row>
    <row r="221" spans="1:53">
      <c r="A221" s="43">
        <v>208</v>
      </c>
      <c r="B221" s="80" t="s">
        <v>595</v>
      </c>
      <c r="C221" s="44" t="s">
        <v>596</v>
      </c>
      <c r="D221" s="43" t="s">
        <v>597</v>
      </c>
      <c r="E221" s="45" t="s">
        <v>215</v>
      </c>
      <c r="F221" s="46">
        <v>15504010103367</v>
      </c>
      <c r="G221" s="47" t="s">
        <v>47</v>
      </c>
      <c r="H221" s="48">
        <v>7200</v>
      </c>
      <c r="I221" s="49">
        <v>100</v>
      </c>
      <c r="J221" s="43" t="s">
        <v>37</v>
      </c>
      <c r="K221" s="48">
        <f>1080+288</f>
        <v>1368</v>
      </c>
      <c r="L221" s="48">
        <f>1080+288</f>
        <v>1368</v>
      </c>
      <c r="M221" s="48">
        <f>1555.2+345.6</f>
        <v>1900.8000000000002</v>
      </c>
      <c r="N221" s="48">
        <f t="shared" si="6"/>
        <v>4636.8</v>
      </c>
      <c r="O221" s="50">
        <v>10000</v>
      </c>
      <c r="P221" s="48">
        <f t="shared" si="7"/>
        <v>14636.8</v>
      </c>
      <c r="Q221" s="43" t="s">
        <v>215</v>
      </c>
      <c r="R221" s="51">
        <v>44977</v>
      </c>
      <c r="S221" s="51">
        <v>45008</v>
      </c>
      <c r="T221" s="43"/>
      <c r="U221" s="43"/>
      <c r="V221" s="52"/>
      <c r="W221" s="53">
        <v>45016</v>
      </c>
      <c r="X221" s="54"/>
      <c r="Y221" s="54"/>
      <c r="Z221" s="43" t="s">
        <v>54</v>
      </c>
      <c r="AA221" s="43"/>
    </row>
    <row r="222" spans="1:53">
      <c r="A222" s="44">
        <v>209</v>
      </c>
      <c r="B222" s="80" t="s">
        <v>595</v>
      </c>
      <c r="C222" s="44" t="s">
        <v>598</v>
      </c>
      <c r="D222" s="43" t="s">
        <v>599</v>
      </c>
      <c r="E222" s="45" t="s">
        <v>215</v>
      </c>
      <c r="F222" s="46">
        <v>15504010103369</v>
      </c>
      <c r="G222" s="47" t="s">
        <v>68</v>
      </c>
      <c r="H222" s="48">
        <v>8060</v>
      </c>
      <c r="I222" s="49">
        <v>112</v>
      </c>
      <c r="J222" s="43" t="s">
        <v>37</v>
      </c>
      <c r="K222" s="48">
        <f>1209+322.4</f>
        <v>1531.4</v>
      </c>
      <c r="L222" s="48">
        <v>1531.4</v>
      </c>
      <c r="M222" s="48">
        <f>1740.9+386.88</f>
        <v>2127.7800000000002</v>
      </c>
      <c r="N222" s="48">
        <f t="shared" si="6"/>
        <v>5190.58</v>
      </c>
      <c r="O222" s="50">
        <v>10000</v>
      </c>
      <c r="P222" s="48">
        <f t="shared" si="7"/>
        <v>15190.58</v>
      </c>
      <c r="Q222" s="43" t="s">
        <v>215</v>
      </c>
      <c r="R222" s="51">
        <v>44977</v>
      </c>
      <c r="S222" s="51">
        <v>45008</v>
      </c>
      <c r="T222" s="43"/>
      <c r="U222" s="43"/>
      <c r="V222" s="52"/>
      <c r="W222" s="53">
        <v>45016</v>
      </c>
      <c r="X222" s="54"/>
      <c r="Y222" s="54"/>
      <c r="Z222" s="43" t="s">
        <v>54</v>
      </c>
      <c r="AA222" s="43"/>
    </row>
    <row r="223" spans="1:53">
      <c r="A223" s="44">
        <v>210</v>
      </c>
      <c r="B223" s="80" t="s">
        <v>595</v>
      </c>
      <c r="C223" s="44" t="s">
        <v>600</v>
      </c>
      <c r="D223" s="43" t="s">
        <v>601</v>
      </c>
      <c r="E223" s="45" t="s">
        <v>215</v>
      </c>
      <c r="F223" s="46">
        <v>15504010103385</v>
      </c>
      <c r="G223" s="47" t="s">
        <v>47</v>
      </c>
      <c r="H223" s="48">
        <v>5830</v>
      </c>
      <c r="I223" s="49">
        <v>81</v>
      </c>
      <c r="J223" s="43" t="s">
        <v>37</v>
      </c>
      <c r="K223" s="48">
        <f>874.5+233.2</f>
        <v>1107.7</v>
      </c>
      <c r="L223" s="48">
        <f>874.5+233.2</f>
        <v>1107.7</v>
      </c>
      <c r="M223" s="48">
        <f>1259.4+279.86</f>
        <v>1539.2600000000002</v>
      </c>
      <c r="N223" s="48">
        <f t="shared" si="6"/>
        <v>3754.6600000000003</v>
      </c>
      <c r="O223" s="50">
        <v>10000</v>
      </c>
      <c r="P223" s="48">
        <f t="shared" si="7"/>
        <v>13754.66</v>
      </c>
      <c r="Q223" s="43" t="s">
        <v>215</v>
      </c>
      <c r="R223" s="51">
        <v>44977</v>
      </c>
      <c r="S223" s="51">
        <v>45008</v>
      </c>
      <c r="T223" s="43"/>
      <c r="U223" s="43"/>
      <c r="V223" s="52"/>
      <c r="W223" s="53">
        <v>45016</v>
      </c>
      <c r="X223" s="54"/>
      <c r="Y223" s="54"/>
      <c r="Z223" s="43" t="s">
        <v>54</v>
      </c>
      <c r="AA223" s="43"/>
    </row>
    <row r="224" spans="1:53">
      <c r="A224" s="43">
        <v>211</v>
      </c>
      <c r="B224" s="80" t="s">
        <v>595</v>
      </c>
      <c r="C224" s="44" t="s">
        <v>602</v>
      </c>
      <c r="D224" s="43" t="s">
        <v>603</v>
      </c>
      <c r="E224" s="45" t="s">
        <v>215</v>
      </c>
      <c r="F224" s="46">
        <v>15504010103380</v>
      </c>
      <c r="G224" s="47" t="s">
        <v>68</v>
      </c>
      <c r="H224" s="48">
        <v>8280</v>
      </c>
      <c r="I224" s="49">
        <v>115</v>
      </c>
      <c r="J224" s="43" t="s">
        <v>37</v>
      </c>
      <c r="K224" s="48">
        <f>1242+331.2</f>
        <v>1573.2</v>
      </c>
      <c r="L224" s="48">
        <v>1573.2</v>
      </c>
      <c r="M224" s="48">
        <f>1788.6+397.46</f>
        <v>2186.06</v>
      </c>
      <c r="N224" s="48">
        <f t="shared" si="6"/>
        <v>5332.46</v>
      </c>
      <c r="O224" s="50">
        <v>10000</v>
      </c>
      <c r="P224" s="48">
        <f t="shared" si="7"/>
        <v>15332.46</v>
      </c>
      <c r="Q224" s="43" t="s">
        <v>215</v>
      </c>
      <c r="R224" s="51">
        <v>44977</v>
      </c>
      <c r="S224" s="51">
        <v>45008</v>
      </c>
      <c r="T224" s="43"/>
      <c r="U224" s="43"/>
      <c r="V224" s="52"/>
      <c r="W224" s="53">
        <v>45016</v>
      </c>
      <c r="X224" s="54"/>
      <c r="Y224" s="54"/>
      <c r="Z224" s="43" t="s">
        <v>54</v>
      </c>
      <c r="AA224" s="43"/>
    </row>
    <row r="225" spans="1:27">
      <c r="A225" s="44">
        <v>212</v>
      </c>
      <c r="B225" s="80" t="s">
        <v>595</v>
      </c>
      <c r="C225" s="44" t="s">
        <v>604</v>
      </c>
      <c r="D225" s="43" t="s">
        <v>605</v>
      </c>
      <c r="E225" s="45" t="s">
        <v>215</v>
      </c>
      <c r="F225" s="46">
        <v>15504010103235</v>
      </c>
      <c r="G225" s="47" t="s">
        <v>68</v>
      </c>
      <c r="H225" s="48">
        <v>8500</v>
      </c>
      <c r="I225" s="49">
        <v>118</v>
      </c>
      <c r="J225" s="43" t="s">
        <v>37</v>
      </c>
      <c r="K225" s="48">
        <f>1275+340</f>
        <v>1615</v>
      </c>
      <c r="L225" s="48">
        <v>1615</v>
      </c>
      <c r="M225" s="48">
        <f>1836+408</f>
        <v>2244</v>
      </c>
      <c r="N225" s="48">
        <f t="shared" si="6"/>
        <v>5474</v>
      </c>
      <c r="O225" s="50">
        <v>10000</v>
      </c>
      <c r="P225" s="48">
        <f t="shared" si="7"/>
        <v>15474</v>
      </c>
      <c r="Q225" s="43" t="s">
        <v>215</v>
      </c>
      <c r="R225" s="51">
        <v>44977</v>
      </c>
      <c r="S225" s="51">
        <v>45008</v>
      </c>
      <c r="T225" s="43"/>
      <c r="U225" s="43"/>
      <c r="V225" s="52"/>
      <c r="W225" s="53">
        <v>45016</v>
      </c>
      <c r="X225" s="54"/>
      <c r="Y225" s="54"/>
      <c r="Z225" s="43" t="s">
        <v>54</v>
      </c>
      <c r="AA225" s="43"/>
    </row>
    <row r="226" spans="1:27">
      <c r="A226" s="44">
        <v>213</v>
      </c>
      <c r="B226" s="80" t="s">
        <v>595</v>
      </c>
      <c r="C226" s="44" t="s">
        <v>606</v>
      </c>
      <c r="D226" s="43" t="s">
        <v>607</v>
      </c>
      <c r="E226" s="45" t="s">
        <v>215</v>
      </c>
      <c r="F226" s="46">
        <v>15504010103359</v>
      </c>
      <c r="G226" s="47" t="s">
        <v>68</v>
      </c>
      <c r="H226" s="48">
        <v>25420</v>
      </c>
      <c r="I226" s="49">
        <v>353</v>
      </c>
      <c r="J226" s="43" t="s">
        <v>37</v>
      </c>
      <c r="K226" s="48">
        <f>3813+1016.8</f>
        <v>4829.8</v>
      </c>
      <c r="L226" s="48">
        <v>4829.8</v>
      </c>
      <c r="M226" s="48">
        <f>5490.6+1220.14</f>
        <v>6710.7400000000007</v>
      </c>
      <c r="N226" s="48">
        <f t="shared" si="6"/>
        <v>16370.34</v>
      </c>
      <c r="O226" s="50">
        <v>10000</v>
      </c>
      <c r="P226" s="48">
        <f t="shared" si="7"/>
        <v>26370.34</v>
      </c>
      <c r="Q226" s="43" t="s">
        <v>215</v>
      </c>
      <c r="R226" s="51">
        <v>44977</v>
      </c>
      <c r="S226" s="51">
        <v>45008</v>
      </c>
      <c r="T226" s="43"/>
      <c r="U226" s="43"/>
      <c r="V226" s="52"/>
      <c r="W226" s="53">
        <v>45016</v>
      </c>
      <c r="X226" s="54"/>
      <c r="Y226" s="54"/>
      <c r="Z226" s="43" t="s">
        <v>54</v>
      </c>
      <c r="AA226" s="51">
        <v>45065</v>
      </c>
    </row>
    <row r="227" spans="1:27">
      <c r="A227" s="43">
        <v>214</v>
      </c>
      <c r="B227" s="80" t="s">
        <v>595</v>
      </c>
      <c r="C227" s="44" t="s">
        <v>608</v>
      </c>
      <c r="D227" s="43" t="s">
        <v>609</v>
      </c>
      <c r="E227" s="45" t="s">
        <v>215</v>
      </c>
      <c r="F227" s="46">
        <v>15504010103241</v>
      </c>
      <c r="G227" s="47" t="s">
        <v>68</v>
      </c>
      <c r="H227" s="48">
        <v>38740</v>
      </c>
      <c r="I227" s="49">
        <v>538</v>
      </c>
      <c r="J227" s="43" t="s">
        <v>37</v>
      </c>
      <c r="K227" s="48">
        <f>5811+1549.6</f>
        <v>7360.6</v>
      </c>
      <c r="L227" s="48">
        <v>7360.6</v>
      </c>
      <c r="M227" s="48">
        <f>8367.9</f>
        <v>8367.9</v>
      </c>
      <c r="N227" s="48">
        <f t="shared" si="6"/>
        <v>23089.1</v>
      </c>
      <c r="O227" s="50">
        <v>10000</v>
      </c>
      <c r="P227" s="48">
        <f t="shared" si="7"/>
        <v>33089.1</v>
      </c>
      <c r="Q227" s="43" t="s">
        <v>215</v>
      </c>
      <c r="R227" s="51">
        <v>44977</v>
      </c>
      <c r="S227" s="51">
        <v>45008</v>
      </c>
      <c r="T227" s="43"/>
      <c r="U227" s="43"/>
      <c r="V227" s="52"/>
      <c r="W227" s="53">
        <v>45016</v>
      </c>
      <c r="X227" s="54"/>
      <c r="Y227" s="54"/>
      <c r="Z227" s="43" t="s">
        <v>54</v>
      </c>
      <c r="AA227" s="51">
        <v>45065</v>
      </c>
    </row>
    <row r="228" spans="1:27">
      <c r="A228" s="44">
        <v>215</v>
      </c>
      <c r="B228" s="80" t="s">
        <v>595</v>
      </c>
      <c r="C228" s="44" t="s">
        <v>610</v>
      </c>
      <c r="D228" s="43" t="s">
        <v>611</v>
      </c>
      <c r="E228" s="45" t="s">
        <v>215</v>
      </c>
      <c r="F228" s="46">
        <v>15504010103246</v>
      </c>
      <c r="G228" s="47" t="s">
        <v>68</v>
      </c>
      <c r="H228" s="48">
        <v>8780</v>
      </c>
      <c r="I228" s="49">
        <v>122</v>
      </c>
      <c r="J228" s="43" t="s">
        <v>37</v>
      </c>
      <c r="K228" s="48">
        <f>1317+351.2</f>
        <v>1668.2</v>
      </c>
      <c r="L228" s="48">
        <v>1668.2</v>
      </c>
      <c r="M228" s="48">
        <f>1896.6+421.46</f>
        <v>2318.06</v>
      </c>
      <c r="N228" s="48">
        <f t="shared" si="6"/>
        <v>5654.46</v>
      </c>
      <c r="O228" s="50">
        <v>10000</v>
      </c>
      <c r="P228" s="48">
        <f t="shared" si="7"/>
        <v>15654.46</v>
      </c>
      <c r="Q228" s="43" t="s">
        <v>215</v>
      </c>
      <c r="R228" s="51">
        <v>44977</v>
      </c>
      <c r="S228" s="51">
        <v>45008</v>
      </c>
      <c r="T228" s="43"/>
      <c r="U228" s="43"/>
      <c r="V228" s="52"/>
      <c r="W228" s="53">
        <v>45016</v>
      </c>
      <c r="X228" s="54"/>
      <c r="Y228" s="54"/>
      <c r="Z228" s="43" t="s">
        <v>54</v>
      </c>
      <c r="AA228" s="43"/>
    </row>
    <row r="229" spans="1:27">
      <c r="A229" s="44">
        <v>216</v>
      </c>
      <c r="B229" s="80" t="s">
        <v>595</v>
      </c>
      <c r="C229" s="44" t="s">
        <v>612</v>
      </c>
      <c r="D229" s="43" t="s">
        <v>613</v>
      </c>
      <c r="E229" s="45" t="s">
        <v>215</v>
      </c>
      <c r="F229" s="46">
        <v>15504010103362</v>
      </c>
      <c r="G229" s="47" t="s">
        <v>68</v>
      </c>
      <c r="H229" s="48">
        <v>39670</v>
      </c>
      <c r="I229" s="49">
        <v>551</v>
      </c>
      <c r="J229" s="43" t="s">
        <v>37</v>
      </c>
      <c r="K229" s="48">
        <f>5950.5+1586.8</f>
        <v>7537.3</v>
      </c>
      <c r="L229" s="48">
        <v>7537.3</v>
      </c>
      <c r="M229" s="48">
        <f>8568.6+1904.14</f>
        <v>10472.74</v>
      </c>
      <c r="N229" s="48">
        <f t="shared" si="6"/>
        <v>25547.34</v>
      </c>
      <c r="O229" s="50">
        <v>10000</v>
      </c>
      <c r="P229" s="48">
        <f t="shared" si="7"/>
        <v>35547.339999999997</v>
      </c>
      <c r="Q229" s="43" t="s">
        <v>215</v>
      </c>
      <c r="R229" s="51">
        <v>44977</v>
      </c>
      <c r="S229" s="51">
        <v>45008</v>
      </c>
      <c r="T229" s="43"/>
      <c r="U229" s="43"/>
      <c r="V229" s="52"/>
      <c r="W229" s="53">
        <v>45016</v>
      </c>
      <c r="X229" s="54"/>
      <c r="Y229" s="54"/>
      <c r="Z229" s="43" t="s">
        <v>54</v>
      </c>
      <c r="AA229" s="43"/>
    </row>
    <row r="230" spans="1:27">
      <c r="A230" s="43">
        <v>217</v>
      </c>
      <c r="B230" s="80" t="s">
        <v>595</v>
      </c>
      <c r="C230" s="44" t="s">
        <v>614</v>
      </c>
      <c r="D230" s="43" t="s">
        <v>615</v>
      </c>
      <c r="E230" s="45" t="s">
        <v>215</v>
      </c>
      <c r="F230" s="46">
        <v>15504010103260</v>
      </c>
      <c r="G230" s="47" t="s">
        <v>68</v>
      </c>
      <c r="H230" s="48">
        <v>7780</v>
      </c>
      <c r="I230" s="49">
        <v>108</v>
      </c>
      <c r="J230" s="43" t="s">
        <v>37</v>
      </c>
      <c r="K230" s="48">
        <f>1167+311.2</f>
        <v>1478.2</v>
      </c>
      <c r="L230" s="48">
        <v>1478.2</v>
      </c>
      <c r="M230" s="48">
        <f>1680.6+373.46</f>
        <v>2054.06</v>
      </c>
      <c r="N230" s="48">
        <f t="shared" si="6"/>
        <v>5010.46</v>
      </c>
      <c r="O230" s="50">
        <v>10000</v>
      </c>
      <c r="P230" s="48">
        <f t="shared" si="7"/>
        <v>15010.46</v>
      </c>
      <c r="Q230" s="43" t="s">
        <v>215</v>
      </c>
      <c r="R230" s="51">
        <v>44977</v>
      </c>
      <c r="S230" s="51">
        <v>45008</v>
      </c>
      <c r="T230" s="43"/>
      <c r="U230" s="43"/>
      <c r="V230" s="52"/>
      <c r="W230" s="53">
        <v>45016</v>
      </c>
      <c r="X230" s="54"/>
      <c r="Y230" s="54"/>
      <c r="Z230" s="43" t="s">
        <v>54</v>
      </c>
      <c r="AA230" s="43"/>
    </row>
    <row r="231" spans="1:27">
      <c r="A231" s="44">
        <v>218</v>
      </c>
      <c r="B231" s="80" t="s">
        <v>595</v>
      </c>
      <c r="C231" s="44" t="s">
        <v>616</v>
      </c>
      <c r="D231" s="43" t="s">
        <v>615</v>
      </c>
      <c r="E231" s="45" t="s">
        <v>215</v>
      </c>
      <c r="F231" s="46">
        <v>15504010103256</v>
      </c>
      <c r="G231" s="47" t="s">
        <v>47</v>
      </c>
      <c r="H231" s="48">
        <v>7200</v>
      </c>
      <c r="I231" s="49">
        <v>100</v>
      </c>
      <c r="J231" s="43" t="s">
        <v>37</v>
      </c>
      <c r="K231" s="48">
        <f>1008+288</f>
        <v>1296</v>
      </c>
      <c r="L231" s="48">
        <v>1296</v>
      </c>
      <c r="M231" s="48">
        <f>1451.52+345.6</f>
        <v>1797.12</v>
      </c>
      <c r="N231" s="48">
        <f t="shared" si="6"/>
        <v>4389.12</v>
      </c>
      <c r="O231" s="50">
        <v>10000</v>
      </c>
      <c r="P231" s="48">
        <f t="shared" si="7"/>
        <v>14389.119999999999</v>
      </c>
      <c r="Q231" s="43" t="s">
        <v>215</v>
      </c>
      <c r="R231" s="51">
        <v>44977</v>
      </c>
      <c r="S231" s="51">
        <v>45008</v>
      </c>
      <c r="T231" s="43"/>
      <c r="U231" s="43"/>
      <c r="V231" s="52"/>
      <c r="W231" s="53">
        <v>45016</v>
      </c>
      <c r="X231" s="54"/>
      <c r="Y231" s="54"/>
      <c r="Z231" s="43" t="s">
        <v>54</v>
      </c>
      <c r="AA231" s="43"/>
    </row>
    <row r="232" spans="1:27" s="67" customFormat="1">
      <c r="A232" s="44">
        <v>219</v>
      </c>
      <c r="B232" s="56" t="s">
        <v>617</v>
      </c>
      <c r="C232" s="44" t="s">
        <v>618</v>
      </c>
      <c r="D232" s="44" t="s">
        <v>619</v>
      </c>
      <c r="E232" s="68" t="s">
        <v>270</v>
      </c>
      <c r="F232" s="69">
        <v>15504005403009</v>
      </c>
      <c r="G232" s="59" t="s">
        <v>36</v>
      </c>
      <c r="H232" s="60">
        <v>12510</v>
      </c>
      <c r="I232" s="61">
        <v>14797</v>
      </c>
      <c r="J232" s="44" t="s">
        <v>37</v>
      </c>
      <c r="K232" s="60">
        <v>2376.9</v>
      </c>
      <c r="L232" s="60">
        <v>2376.9</v>
      </c>
      <c r="M232" s="60">
        <v>3292.56</v>
      </c>
      <c r="N232" s="60">
        <f t="shared" si="6"/>
        <v>8046.3600000000006</v>
      </c>
      <c r="O232" s="62">
        <v>10000</v>
      </c>
      <c r="P232" s="60">
        <f t="shared" si="7"/>
        <v>18046.36</v>
      </c>
      <c r="Q232" s="44" t="s">
        <v>270</v>
      </c>
      <c r="R232" s="63">
        <v>44876</v>
      </c>
      <c r="S232" s="63"/>
      <c r="T232" s="63"/>
      <c r="U232" s="44"/>
      <c r="V232" s="64"/>
      <c r="W232" s="65"/>
      <c r="X232" s="66"/>
      <c r="Y232" s="66"/>
      <c r="Z232" s="44"/>
      <c r="AA232" s="44"/>
    </row>
    <row r="233" spans="1:27">
      <c r="A233" s="43">
        <v>220</v>
      </c>
      <c r="B233" s="33" t="s">
        <v>620</v>
      </c>
      <c r="C233" s="44" t="s">
        <v>621</v>
      </c>
      <c r="D233" s="43"/>
      <c r="E233" s="45" t="s">
        <v>279</v>
      </c>
      <c r="F233" s="46">
        <v>15504008001112</v>
      </c>
      <c r="G233" s="47" t="s">
        <v>157</v>
      </c>
      <c r="H233" s="48">
        <v>145770</v>
      </c>
      <c r="I233" s="49"/>
      <c r="J233" s="43" t="s">
        <v>42</v>
      </c>
      <c r="K233" s="48">
        <v>26238.6</v>
      </c>
      <c r="L233" s="48">
        <v>26238.6</v>
      </c>
      <c r="M233" s="48">
        <v>36267.46</v>
      </c>
      <c r="N233" s="48">
        <f t="shared" si="6"/>
        <v>88744.66</v>
      </c>
      <c r="O233" s="50">
        <v>10000</v>
      </c>
      <c r="P233" s="48">
        <f t="shared" si="7"/>
        <v>98744.66</v>
      </c>
      <c r="Q233" s="43" t="s">
        <v>279</v>
      </c>
      <c r="R233" s="51">
        <v>44986</v>
      </c>
      <c r="S233" s="51">
        <v>45013</v>
      </c>
      <c r="T233" s="43"/>
      <c r="U233" s="43"/>
      <c r="V233" s="52"/>
      <c r="W233" s="53">
        <v>45035</v>
      </c>
      <c r="X233" s="54"/>
      <c r="Y233" s="54" t="s">
        <v>622</v>
      </c>
      <c r="Z233" s="43"/>
      <c r="AA233" s="43"/>
    </row>
    <row r="234" spans="1:27">
      <c r="A234" s="44">
        <v>221</v>
      </c>
      <c r="B234" s="33" t="s">
        <v>623</v>
      </c>
      <c r="C234" s="44" t="s">
        <v>624</v>
      </c>
      <c r="D234" s="43">
        <v>34864</v>
      </c>
      <c r="E234" s="45" t="s">
        <v>240</v>
      </c>
      <c r="F234" s="46">
        <v>15504003000520</v>
      </c>
      <c r="G234" s="101" t="s">
        <v>625</v>
      </c>
      <c r="H234" s="48">
        <v>5040</v>
      </c>
      <c r="I234" s="49">
        <v>56</v>
      </c>
      <c r="J234" s="43" t="s">
        <v>37</v>
      </c>
      <c r="K234" s="48">
        <v>957.6</v>
      </c>
      <c r="L234" s="48">
        <v>957.6</v>
      </c>
      <c r="M234" s="48">
        <v>1326.6</v>
      </c>
      <c r="N234" s="48">
        <f t="shared" si="6"/>
        <v>3241.8</v>
      </c>
      <c r="O234" s="50">
        <v>10000</v>
      </c>
      <c r="P234" s="48">
        <f t="shared" si="7"/>
        <v>13241.8</v>
      </c>
      <c r="Q234" s="43" t="s">
        <v>240</v>
      </c>
      <c r="R234" s="51">
        <v>44963</v>
      </c>
      <c r="S234" s="51">
        <v>45008</v>
      </c>
      <c r="T234" s="43"/>
      <c r="U234" s="43"/>
      <c r="V234" s="52"/>
      <c r="W234" s="53">
        <v>45019</v>
      </c>
      <c r="X234" s="73">
        <v>44988</v>
      </c>
      <c r="Y234" s="54"/>
      <c r="Z234" s="43" t="s">
        <v>54</v>
      </c>
      <c r="AA234" s="43"/>
    </row>
    <row r="235" spans="1:27">
      <c r="A235" s="44">
        <v>222</v>
      </c>
      <c r="B235" s="33" t="s">
        <v>626</v>
      </c>
      <c r="C235" s="44" t="s">
        <v>627</v>
      </c>
      <c r="D235" s="43" t="s">
        <v>628</v>
      </c>
      <c r="E235" s="45" t="s">
        <v>240</v>
      </c>
      <c r="F235" s="46">
        <v>15504003000631</v>
      </c>
      <c r="G235" s="47" t="s">
        <v>47</v>
      </c>
      <c r="H235" s="48">
        <v>10080</v>
      </c>
      <c r="I235" s="49">
        <v>112</v>
      </c>
      <c r="J235" s="43" t="s">
        <v>37</v>
      </c>
      <c r="K235" s="48">
        <v>1915.2</v>
      </c>
      <c r="L235" s="48">
        <v>1915.2</v>
      </c>
      <c r="M235" s="48">
        <v>2653.18</v>
      </c>
      <c r="N235" s="48">
        <f t="shared" si="6"/>
        <v>6483.58</v>
      </c>
      <c r="O235" s="50">
        <v>10000</v>
      </c>
      <c r="P235" s="48">
        <f t="shared" si="7"/>
        <v>16483.580000000002</v>
      </c>
      <c r="Q235" s="43" t="s">
        <v>240</v>
      </c>
      <c r="R235" s="51">
        <v>44963</v>
      </c>
      <c r="S235" s="43"/>
      <c r="T235" s="43"/>
      <c r="U235" s="43"/>
      <c r="V235" s="52"/>
      <c r="W235" s="53"/>
      <c r="X235" s="54"/>
      <c r="Y235" s="54"/>
      <c r="Z235" s="43"/>
      <c r="AA235" s="43"/>
    </row>
    <row r="236" spans="1:27">
      <c r="A236" s="43">
        <v>223</v>
      </c>
      <c r="B236" s="33" t="s">
        <v>629</v>
      </c>
      <c r="C236" s="44" t="s">
        <v>630</v>
      </c>
      <c r="D236" s="43" t="s">
        <v>52</v>
      </c>
      <c r="E236" s="45" t="s">
        <v>53</v>
      </c>
      <c r="F236" s="46">
        <v>15504001200403</v>
      </c>
      <c r="G236" s="47" t="s">
        <v>36</v>
      </c>
      <c r="H236" s="48">
        <v>51850</v>
      </c>
      <c r="I236" s="49">
        <v>150021</v>
      </c>
      <c r="J236" s="43" t="s">
        <v>631</v>
      </c>
      <c r="K236" s="48">
        <v>8814.5</v>
      </c>
      <c r="L236" s="48">
        <v>8814.5</v>
      </c>
      <c r="M236" s="48">
        <v>12153.64</v>
      </c>
      <c r="N236" s="48">
        <f t="shared" si="6"/>
        <v>29782.639999999999</v>
      </c>
      <c r="O236" s="50">
        <v>10000</v>
      </c>
      <c r="P236" s="48">
        <f t="shared" si="7"/>
        <v>39782.639999999999</v>
      </c>
      <c r="Q236" s="43" t="s">
        <v>53</v>
      </c>
      <c r="R236" s="51">
        <v>44876</v>
      </c>
      <c r="S236" s="51"/>
      <c r="T236" s="51"/>
      <c r="U236" s="43"/>
      <c r="V236" s="52"/>
      <c r="W236" s="53">
        <v>45044</v>
      </c>
      <c r="X236" s="54"/>
      <c r="Y236" s="54" t="s">
        <v>54</v>
      </c>
      <c r="Z236" s="51">
        <v>45065</v>
      </c>
      <c r="AA236" s="43"/>
    </row>
    <row r="237" spans="1:27" s="67" customFormat="1">
      <c r="A237" s="44">
        <v>224</v>
      </c>
      <c r="B237" s="56" t="s">
        <v>632</v>
      </c>
      <c r="C237" s="44" t="s">
        <v>633</v>
      </c>
      <c r="D237" s="44" t="s">
        <v>634</v>
      </c>
      <c r="E237" s="68" t="s">
        <v>79</v>
      </c>
      <c r="F237" s="69">
        <v>15504004901212</v>
      </c>
      <c r="G237" s="59" t="s">
        <v>36</v>
      </c>
      <c r="H237" s="60">
        <v>1030</v>
      </c>
      <c r="I237" s="61">
        <v>1339</v>
      </c>
      <c r="J237" s="44" t="s">
        <v>199</v>
      </c>
      <c r="K237" s="60">
        <v>51.5</v>
      </c>
      <c r="L237" s="60">
        <v>51.5</v>
      </c>
      <c r="M237" s="60">
        <v>63.46</v>
      </c>
      <c r="N237" s="60">
        <f t="shared" si="6"/>
        <v>166.46</v>
      </c>
      <c r="O237" s="62">
        <v>10000</v>
      </c>
      <c r="P237" s="60">
        <f t="shared" si="7"/>
        <v>10166.459999999999</v>
      </c>
      <c r="Q237" s="44" t="s">
        <v>79</v>
      </c>
      <c r="R237" s="63">
        <v>44985</v>
      </c>
      <c r="S237" s="63">
        <v>45007</v>
      </c>
      <c r="T237" s="44"/>
      <c r="U237" s="44"/>
      <c r="V237" s="64"/>
      <c r="W237" s="65">
        <v>45028</v>
      </c>
      <c r="X237" s="66"/>
      <c r="Y237" s="66"/>
      <c r="Z237" s="44" t="s">
        <v>54</v>
      </c>
      <c r="AA237" s="44"/>
    </row>
    <row r="238" spans="1:27">
      <c r="A238" s="44">
        <v>225</v>
      </c>
      <c r="B238" s="33" t="s">
        <v>635</v>
      </c>
      <c r="C238" s="44" t="s">
        <v>636</v>
      </c>
      <c r="D238" s="43"/>
      <c r="E238" s="45" t="s">
        <v>46</v>
      </c>
      <c r="F238" s="46">
        <v>15504007601260</v>
      </c>
      <c r="G238" s="47" t="s">
        <v>47</v>
      </c>
      <c r="H238" s="48">
        <v>8350</v>
      </c>
      <c r="I238" s="49">
        <v>116</v>
      </c>
      <c r="J238" s="43" t="s">
        <v>63</v>
      </c>
      <c r="K238" s="48">
        <v>1169</v>
      </c>
      <c r="L238" s="48">
        <v>1169</v>
      </c>
      <c r="M238" s="48">
        <v>1603.2</v>
      </c>
      <c r="N238" s="48">
        <f t="shared" si="6"/>
        <v>3941.2</v>
      </c>
      <c r="O238" s="50">
        <v>10000</v>
      </c>
      <c r="P238" s="48">
        <f t="shared" si="7"/>
        <v>13941.2</v>
      </c>
      <c r="Q238" s="43" t="s">
        <v>46</v>
      </c>
      <c r="R238" s="51">
        <v>44965</v>
      </c>
      <c r="S238" s="51">
        <v>45006</v>
      </c>
      <c r="T238" s="43"/>
      <c r="U238" s="43"/>
      <c r="V238" s="52"/>
      <c r="W238" s="53">
        <v>45028</v>
      </c>
      <c r="X238" s="54"/>
      <c r="Y238" s="54" t="s">
        <v>54</v>
      </c>
      <c r="Z238" s="43"/>
      <c r="AA238" s="43"/>
    </row>
    <row r="239" spans="1:27">
      <c r="A239" s="43">
        <v>226</v>
      </c>
      <c r="B239" s="33" t="s">
        <v>637</v>
      </c>
      <c r="C239" s="44" t="s">
        <v>638</v>
      </c>
      <c r="D239" s="43" t="s">
        <v>639</v>
      </c>
      <c r="E239" s="45" t="s">
        <v>79</v>
      </c>
      <c r="F239" s="46">
        <v>15504004901602</v>
      </c>
      <c r="G239" s="47" t="s">
        <v>47</v>
      </c>
      <c r="H239" s="48">
        <v>2600</v>
      </c>
      <c r="I239" s="49">
        <v>93</v>
      </c>
      <c r="J239" s="43" t="s">
        <v>199</v>
      </c>
      <c r="K239" s="48">
        <v>130</v>
      </c>
      <c r="L239" s="48">
        <v>130</v>
      </c>
      <c r="M239" s="48">
        <v>160.16</v>
      </c>
      <c r="N239" s="48">
        <f t="shared" si="6"/>
        <v>420.15999999999997</v>
      </c>
      <c r="O239" s="50">
        <v>10000</v>
      </c>
      <c r="P239" s="48">
        <f t="shared" si="7"/>
        <v>10420.16</v>
      </c>
      <c r="Q239" s="43" t="s">
        <v>79</v>
      </c>
      <c r="R239" s="51">
        <v>44985</v>
      </c>
      <c r="S239" s="51">
        <v>45006</v>
      </c>
      <c r="T239" s="43"/>
      <c r="U239" s="43"/>
      <c r="V239" s="52"/>
      <c r="W239" s="53">
        <v>45029</v>
      </c>
      <c r="X239" s="54"/>
      <c r="Y239" s="54"/>
      <c r="Z239" s="43" t="s">
        <v>54</v>
      </c>
      <c r="AA239" s="43"/>
    </row>
    <row r="240" spans="1:27">
      <c r="A240" s="44">
        <v>227</v>
      </c>
      <c r="B240" s="33" t="s">
        <v>637</v>
      </c>
      <c r="C240" s="44" t="s">
        <v>640</v>
      </c>
      <c r="D240" s="43" t="s">
        <v>641</v>
      </c>
      <c r="E240" s="45" t="s">
        <v>79</v>
      </c>
      <c r="F240" s="46">
        <v>15504004901801</v>
      </c>
      <c r="G240" s="47" t="s">
        <v>36</v>
      </c>
      <c r="H240" s="48">
        <v>5060</v>
      </c>
      <c r="I240" s="49">
        <v>7227</v>
      </c>
      <c r="J240" s="43" t="s">
        <v>199</v>
      </c>
      <c r="K240" s="48">
        <v>253</v>
      </c>
      <c r="L240" s="48">
        <v>253</v>
      </c>
      <c r="M240" s="48">
        <v>311.68</v>
      </c>
      <c r="N240" s="48">
        <f t="shared" si="6"/>
        <v>817.68000000000006</v>
      </c>
      <c r="O240" s="50">
        <v>10000</v>
      </c>
      <c r="P240" s="48">
        <f t="shared" si="7"/>
        <v>10817.68</v>
      </c>
      <c r="Q240" s="43" t="s">
        <v>79</v>
      </c>
      <c r="R240" s="51">
        <v>44985</v>
      </c>
      <c r="S240" s="51">
        <v>45006</v>
      </c>
      <c r="T240" s="43"/>
      <c r="U240" s="43"/>
      <c r="V240" s="52"/>
      <c r="W240" s="53">
        <v>45029</v>
      </c>
      <c r="X240" s="54"/>
      <c r="Y240" s="54"/>
      <c r="Z240" s="43" t="s">
        <v>54</v>
      </c>
      <c r="AA240" s="43"/>
    </row>
    <row r="241" spans="1:27">
      <c r="A241" s="44">
        <v>228</v>
      </c>
      <c r="B241" s="33" t="s">
        <v>642</v>
      </c>
      <c r="C241" s="44" t="s">
        <v>643</v>
      </c>
      <c r="D241" s="43"/>
      <c r="E241" s="45" t="s">
        <v>46</v>
      </c>
      <c r="F241" s="46">
        <v>15504007602207</v>
      </c>
      <c r="G241" s="47" t="s">
        <v>157</v>
      </c>
      <c r="H241" s="48">
        <v>19920</v>
      </c>
      <c r="I241" s="49"/>
      <c r="J241" s="43" t="s">
        <v>128</v>
      </c>
      <c r="K241" s="48">
        <v>2390.4</v>
      </c>
      <c r="L241" s="48">
        <v>2390.4</v>
      </c>
      <c r="M241" s="48">
        <v>3250.86</v>
      </c>
      <c r="N241" s="48">
        <f t="shared" si="6"/>
        <v>8031.66</v>
      </c>
      <c r="O241" s="50">
        <v>10000</v>
      </c>
      <c r="P241" s="48">
        <f t="shared" si="7"/>
        <v>18031.66</v>
      </c>
      <c r="Q241" s="43" t="s">
        <v>46</v>
      </c>
      <c r="R241" s="51">
        <v>44965</v>
      </c>
      <c r="S241" s="51">
        <v>45006</v>
      </c>
      <c r="T241" s="43"/>
      <c r="U241" s="43"/>
      <c r="V241" s="52"/>
      <c r="W241" s="53">
        <v>45028</v>
      </c>
      <c r="X241" s="54"/>
      <c r="Y241" s="54" t="s">
        <v>54</v>
      </c>
      <c r="Z241" s="51">
        <v>45063</v>
      </c>
      <c r="AA241" s="43"/>
    </row>
    <row r="242" spans="1:27" s="67" customFormat="1">
      <c r="A242" s="44">
        <v>230</v>
      </c>
      <c r="B242" s="56" t="s">
        <v>644</v>
      </c>
      <c r="C242" s="44" t="s">
        <v>645</v>
      </c>
      <c r="D242" s="44" t="s">
        <v>646</v>
      </c>
      <c r="E242" s="68" t="s">
        <v>57</v>
      </c>
      <c r="F242" s="69">
        <v>15504003101714</v>
      </c>
      <c r="G242" s="59" t="s">
        <v>47</v>
      </c>
      <c r="H242" s="60">
        <v>28390</v>
      </c>
      <c r="I242" s="61">
        <v>676</v>
      </c>
      <c r="J242" s="44" t="s">
        <v>37</v>
      </c>
      <c r="K242" s="60">
        <v>5394.1</v>
      </c>
      <c r="L242" s="60">
        <v>5394.1</v>
      </c>
      <c r="M242" s="60">
        <v>7472.32</v>
      </c>
      <c r="N242" s="60">
        <f t="shared" si="6"/>
        <v>18260.52</v>
      </c>
      <c r="O242" s="62">
        <v>10000</v>
      </c>
      <c r="P242" s="60">
        <f t="shared" si="7"/>
        <v>28260.52</v>
      </c>
      <c r="Q242" s="44" t="s">
        <v>57</v>
      </c>
      <c r="R242" s="63">
        <v>44874</v>
      </c>
      <c r="S242" s="63"/>
      <c r="T242" s="63"/>
      <c r="U242" s="44"/>
      <c r="V242" s="64"/>
      <c r="W242" s="65"/>
      <c r="X242" s="66"/>
      <c r="Y242" s="66"/>
      <c r="Z242" s="44"/>
      <c r="AA242" s="44"/>
    </row>
    <row r="243" spans="1:27" s="67" customFormat="1">
      <c r="A243" s="44">
        <v>231</v>
      </c>
      <c r="B243" s="56" t="s">
        <v>647</v>
      </c>
      <c r="C243" s="44" t="s">
        <v>648</v>
      </c>
      <c r="D243" s="44" t="s">
        <v>649</v>
      </c>
      <c r="E243" s="68" t="s">
        <v>57</v>
      </c>
      <c r="F243" s="69">
        <v>15504003101708</v>
      </c>
      <c r="G243" s="59" t="s">
        <v>47</v>
      </c>
      <c r="H243" s="60">
        <v>36370</v>
      </c>
      <c r="I243" s="61">
        <v>866</v>
      </c>
      <c r="J243" s="44" t="s">
        <v>37</v>
      </c>
      <c r="K243" s="60">
        <v>6910.3</v>
      </c>
      <c r="L243" s="60">
        <v>6910.3</v>
      </c>
      <c r="M243" s="60">
        <v>9572.4599999999991</v>
      </c>
      <c r="N243" s="60">
        <f t="shared" si="6"/>
        <v>23393.059999999998</v>
      </c>
      <c r="O243" s="62">
        <v>10000</v>
      </c>
      <c r="P243" s="60">
        <f t="shared" si="7"/>
        <v>33393.06</v>
      </c>
      <c r="Q243" s="44" t="s">
        <v>57</v>
      </c>
      <c r="R243" s="63">
        <v>44874</v>
      </c>
      <c r="S243" s="63"/>
      <c r="T243" s="63"/>
      <c r="U243" s="44"/>
      <c r="V243" s="64"/>
      <c r="W243" s="65"/>
      <c r="X243" s="66"/>
      <c r="Y243" s="66"/>
      <c r="Z243" s="44"/>
      <c r="AA243" s="44"/>
    </row>
    <row r="244" spans="1:27" s="67" customFormat="1">
      <c r="A244" s="43">
        <v>232</v>
      </c>
      <c r="B244" s="56" t="s">
        <v>650</v>
      </c>
      <c r="C244" s="44" t="s">
        <v>651</v>
      </c>
      <c r="D244" s="44" t="s">
        <v>652</v>
      </c>
      <c r="E244" s="68" t="s">
        <v>244</v>
      </c>
      <c r="F244" s="69">
        <v>15504010201815</v>
      </c>
      <c r="G244" s="59" t="s">
        <v>68</v>
      </c>
      <c r="H244" s="60">
        <v>60980</v>
      </c>
      <c r="I244" s="61">
        <v>2178</v>
      </c>
      <c r="J244" s="44" t="s">
        <v>37</v>
      </c>
      <c r="K244" s="60">
        <f>9147+2439.2</f>
        <v>11586.2</v>
      </c>
      <c r="L244" s="60">
        <v>11586.2</v>
      </c>
      <c r="M244" s="60">
        <f>13171.8+2878.26</f>
        <v>16050.06</v>
      </c>
      <c r="N244" s="60">
        <f t="shared" si="6"/>
        <v>39222.46</v>
      </c>
      <c r="O244" s="62">
        <v>10000</v>
      </c>
      <c r="P244" s="60">
        <f t="shared" si="7"/>
        <v>49222.46</v>
      </c>
      <c r="Q244" s="44" t="s">
        <v>244</v>
      </c>
      <c r="R244" s="63">
        <v>44888</v>
      </c>
      <c r="S244" s="63">
        <v>45013</v>
      </c>
      <c r="T244" s="63"/>
      <c r="U244" s="44"/>
      <c r="V244" s="64"/>
      <c r="W244" s="65">
        <v>45020</v>
      </c>
      <c r="X244" s="66"/>
      <c r="Y244" s="66"/>
      <c r="Z244" s="44" t="s">
        <v>54</v>
      </c>
      <c r="AA244" s="63">
        <v>45070</v>
      </c>
    </row>
    <row r="245" spans="1:27" s="67" customFormat="1">
      <c r="A245" s="44">
        <v>233</v>
      </c>
      <c r="B245" s="56" t="s">
        <v>653</v>
      </c>
      <c r="C245" s="44" t="s">
        <v>654</v>
      </c>
      <c r="D245" s="44" t="s">
        <v>655</v>
      </c>
      <c r="E245" s="68" t="s">
        <v>244</v>
      </c>
      <c r="F245" s="69">
        <v>15504010201625</v>
      </c>
      <c r="G245" s="59" t="s">
        <v>68</v>
      </c>
      <c r="H245" s="60">
        <v>60960</v>
      </c>
      <c r="I245" s="61">
        <v>2177</v>
      </c>
      <c r="J245" s="44" t="s">
        <v>37</v>
      </c>
      <c r="K245" s="60">
        <f>9144+2438.4</f>
        <v>11582.4</v>
      </c>
      <c r="L245" s="60">
        <v>11582.4</v>
      </c>
      <c r="M245" s="60">
        <f>13167.3+2877.3</f>
        <v>16044.599999999999</v>
      </c>
      <c r="N245" s="60">
        <f t="shared" si="6"/>
        <v>39209.399999999994</v>
      </c>
      <c r="O245" s="62">
        <v>10000</v>
      </c>
      <c r="P245" s="60">
        <f t="shared" si="7"/>
        <v>49209.399999999994</v>
      </c>
      <c r="Q245" s="44" t="s">
        <v>244</v>
      </c>
      <c r="R245" s="63">
        <v>44888</v>
      </c>
      <c r="S245" s="63">
        <v>45013</v>
      </c>
      <c r="T245" s="63"/>
      <c r="U245" s="44"/>
      <c r="V245" s="64"/>
      <c r="W245" s="65">
        <v>45020</v>
      </c>
      <c r="X245" s="66"/>
      <c r="Y245" s="66"/>
      <c r="Z245" s="44" t="s">
        <v>54</v>
      </c>
      <c r="AA245" s="63">
        <v>45070</v>
      </c>
    </row>
    <row r="246" spans="1:27">
      <c r="A246" s="44">
        <v>234</v>
      </c>
      <c r="B246" s="33" t="s">
        <v>656</v>
      </c>
      <c r="C246" s="44" t="s">
        <v>657</v>
      </c>
      <c r="D246" s="43" t="s">
        <v>658</v>
      </c>
      <c r="E246" s="45" t="s">
        <v>57</v>
      </c>
      <c r="F246" s="46">
        <v>15504003100709</v>
      </c>
      <c r="G246" s="47" t="s">
        <v>47</v>
      </c>
      <c r="H246" s="48">
        <v>24490</v>
      </c>
      <c r="I246" s="49">
        <v>583</v>
      </c>
      <c r="J246" s="43" t="s">
        <v>37</v>
      </c>
      <c r="K246" s="48">
        <v>4653.1000000000004</v>
      </c>
      <c r="L246" s="48">
        <v>4653.1000000000004</v>
      </c>
      <c r="M246" s="48">
        <v>6445.84</v>
      </c>
      <c r="N246" s="48">
        <f t="shared" si="6"/>
        <v>15752.04</v>
      </c>
      <c r="O246" s="50">
        <v>10000</v>
      </c>
      <c r="P246" s="48">
        <f t="shared" si="7"/>
        <v>25752.04</v>
      </c>
      <c r="Q246" s="43" t="s">
        <v>57</v>
      </c>
      <c r="R246" s="51">
        <v>44960</v>
      </c>
      <c r="S246" s="51">
        <v>44998</v>
      </c>
      <c r="T246" s="51"/>
      <c r="U246" s="43"/>
      <c r="V246" s="52"/>
      <c r="W246" s="53"/>
      <c r="X246" s="73">
        <v>44992</v>
      </c>
      <c r="Y246" s="54"/>
      <c r="Z246" s="43"/>
      <c r="AA246" s="43"/>
    </row>
    <row r="247" spans="1:27">
      <c r="A247" s="43">
        <v>235</v>
      </c>
      <c r="B247" s="33" t="s">
        <v>656</v>
      </c>
      <c r="C247" s="44" t="s">
        <v>659</v>
      </c>
      <c r="D247" s="43" t="s">
        <v>660</v>
      </c>
      <c r="E247" s="45" t="s">
        <v>57</v>
      </c>
      <c r="F247" s="46">
        <v>15504003100714</v>
      </c>
      <c r="G247" s="47" t="s">
        <v>109</v>
      </c>
      <c r="H247" s="48">
        <v>17470</v>
      </c>
      <c r="I247" s="49">
        <v>416</v>
      </c>
      <c r="J247" s="43" t="s">
        <v>37</v>
      </c>
      <c r="K247" s="48">
        <v>3319.3</v>
      </c>
      <c r="L247" s="48">
        <v>3319.3</v>
      </c>
      <c r="M247" s="48">
        <v>4597.9799999999996</v>
      </c>
      <c r="N247" s="48">
        <f t="shared" si="6"/>
        <v>11236.58</v>
      </c>
      <c r="O247" s="50">
        <v>10000</v>
      </c>
      <c r="P247" s="48">
        <f t="shared" si="7"/>
        <v>21236.58</v>
      </c>
      <c r="Q247" s="43" t="s">
        <v>57</v>
      </c>
      <c r="R247" s="51">
        <v>44960</v>
      </c>
      <c r="S247" s="51">
        <v>44998</v>
      </c>
      <c r="T247" s="51"/>
      <c r="U247" s="43"/>
      <c r="V247" s="52"/>
      <c r="W247" s="53"/>
      <c r="X247" s="73">
        <v>44992</v>
      </c>
      <c r="Y247" s="54"/>
      <c r="Z247" s="43"/>
      <c r="AA247" s="43"/>
    </row>
    <row r="248" spans="1:27">
      <c r="A248" s="44">
        <v>236</v>
      </c>
      <c r="B248" s="33" t="s">
        <v>661</v>
      </c>
      <c r="C248" s="44" t="s">
        <v>662</v>
      </c>
      <c r="D248" s="43" t="s">
        <v>663</v>
      </c>
      <c r="E248" s="45" t="s">
        <v>57</v>
      </c>
      <c r="F248" s="46">
        <v>15504003100740</v>
      </c>
      <c r="G248" s="47" t="s">
        <v>109</v>
      </c>
      <c r="H248" s="48">
        <v>4070</v>
      </c>
      <c r="I248" s="49">
        <v>97</v>
      </c>
      <c r="J248" s="43" t="s">
        <v>128</v>
      </c>
      <c r="K248" s="48">
        <v>488.4</v>
      </c>
      <c r="L248" s="48">
        <v>488.4</v>
      </c>
      <c r="M248" s="48">
        <v>660.9</v>
      </c>
      <c r="N248" s="48">
        <f t="shared" si="6"/>
        <v>1637.6999999999998</v>
      </c>
      <c r="O248" s="50">
        <v>10000</v>
      </c>
      <c r="P248" s="48">
        <f t="shared" si="7"/>
        <v>11637.7</v>
      </c>
      <c r="Q248" s="43" t="s">
        <v>57</v>
      </c>
      <c r="R248" s="51">
        <v>44960</v>
      </c>
      <c r="S248" s="51">
        <v>44998</v>
      </c>
      <c r="T248" s="51"/>
      <c r="U248" s="43"/>
      <c r="V248" s="52"/>
      <c r="W248" s="53">
        <v>45027</v>
      </c>
      <c r="X248" s="73">
        <v>44992</v>
      </c>
      <c r="Y248" s="54" t="s">
        <v>54</v>
      </c>
      <c r="Z248" s="51" t="s">
        <v>664</v>
      </c>
      <c r="AA248" s="43"/>
    </row>
    <row r="249" spans="1:27" s="67" customFormat="1" ht="22.5">
      <c r="A249" s="44">
        <v>237</v>
      </c>
      <c r="B249" s="56" t="s">
        <v>665</v>
      </c>
      <c r="C249" s="44" t="s">
        <v>666</v>
      </c>
      <c r="D249" s="44">
        <v>33625</v>
      </c>
      <c r="E249" s="68" t="s">
        <v>292</v>
      </c>
      <c r="F249" s="69">
        <v>15504004900709</v>
      </c>
      <c r="G249" s="101" t="s">
        <v>667</v>
      </c>
      <c r="H249" s="60">
        <v>137840</v>
      </c>
      <c r="I249" s="61">
        <v>2188</v>
      </c>
      <c r="J249" s="44" t="s">
        <v>37</v>
      </c>
      <c r="K249" s="60">
        <v>39284.400000000001</v>
      </c>
      <c r="L249" s="60">
        <v>26189.599999999999</v>
      </c>
      <c r="M249" s="60">
        <v>45349.36</v>
      </c>
      <c r="N249" s="60">
        <f t="shared" si="6"/>
        <v>110823.36</v>
      </c>
      <c r="O249" s="62">
        <v>10000</v>
      </c>
      <c r="P249" s="60">
        <f t="shared" si="7"/>
        <v>120823.36</v>
      </c>
      <c r="Q249" s="44" t="s">
        <v>292</v>
      </c>
      <c r="R249" s="63">
        <v>44874</v>
      </c>
      <c r="S249" s="63">
        <v>45006</v>
      </c>
      <c r="T249" s="63"/>
      <c r="U249" s="44"/>
      <c r="V249" s="64"/>
      <c r="W249" s="65"/>
      <c r="X249" s="66"/>
      <c r="Y249" s="66" t="s">
        <v>49</v>
      </c>
      <c r="Z249" s="63">
        <v>45068</v>
      </c>
      <c r="AA249" s="44"/>
    </row>
    <row r="250" spans="1:27" s="67" customFormat="1" ht="22.5">
      <c r="A250" s="43">
        <v>238</v>
      </c>
      <c r="B250" s="56" t="s">
        <v>665</v>
      </c>
      <c r="C250" s="44" t="s">
        <v>668</v>
      </c>
      <c r="D250" s="44">
        <v>35063</v>
      </c>
      <c r="E250" s="68" t="s">
        <v>292</v>
      </c>
      <c r="F250" s="69">
        <v>15504004900707</v>
      </c>
      <c r="G250" s="101" t="s">
        <v>667</v>
      </c>
      <c r="H250" s="60">
        <v>122410</v>
      </c>
      <c r="I250" s="61">
        <v>1943</v>
      </c>
      <c r="J250" s="44" t="s">
        <v>37</v>
      </c>
      <c r="K250" s="60">
        <v>34886.85</v>
      </c>
      <c r="L250" s="60">
        <v>23257.9</v>
      </c>
      <c r="M250" s="60">
        <v>40272.79</v>
      </c>
      <c r="N250" s="60">
        <f t="shared" si="6"/>
        <v>98417.540000000008</v>
      </c>
      <c r="O250" s="62">
        <v>10000</v>
      </c>
      <c r="P250" s="60">
        <f t="shared" si="7"/>
        <v>108417.54000000001</v>
      </c>
      <c r="Q250" s="44" t="s">
        <v>292</v>
      </c>
      <c r="R250" s="63">
        <v>44874</v>
      </c>
      <c r="S250" s="63">
        <v>45006</v>
      </c>
      <c r="T250" s="63"/>
      <c r="U250" s="44"/>
      <c r="V250" s="64"/>
      <c r="W250" s="65"/>
      <c r="X250" s="66"/>
      <c r="Y250" s="66" t="s">
        <v>49</v>
      </c>
      <c r="Z250" s="63">
        <v>45068</v>
      </c>
      <c r="AA250" s="44"/>
    </row>
    <row r="251" spans="1:27" s="67" customFormat="1" ht="22.5">
      <c r="A251" s="44">
        <v>239</v>
      </c>
      <c r="B251" s="56" t="s">
        <v>665</v>
      </c>
      <c r="C251" s="44" t="s">
        <v>669</v>
      </c>
      <c r="D251" s="44" t="s">
        <v>670</v>
      </c>
      <c r="E251" s="68" t="s">
        <v>292</v>
      </c>
      <c r="F251" s="69">
        <v>15504004901215</v>
      </c>
      <c r="G251" s="101" t="s">
        <v>671</v>
      </c>
      <c r="H251" s="60">
        <v>28310</v>
      </c>
      <c r="I251" s="61">
        <v>1011</v>
      </c>
      <c r="J251" s="44" t="s">
        <v>37</v>
      </c>
      <c r="K251" s="60">
        <v>5378.9</v>
      </c>
      <c r="L251" s="60">
        <v>5378.9</v>
      </c>
      <c r="M251" s="60">
        <v>7451.12</v>
      </c>
      <c r="N251" s="60">
        <f t="shared" si="6"/>
        <v>18208.919999999998</v>
      </c>
      <c r="O251" s="62">
        <v>10000</v>
      </c>
      <c r="P251" s="60">
        <f t="shared" si="7"/>
        <v>28208.92</v>
      </c>
      <c r="Q251" s="44" t="s">
        <v>292</v>
      </c>
      <c r="R251" s="63">
        <v>44874</v>
      </c>
      <c r="S251" s="63">
        <v>45006</v>
      </c>
      <c r="T251" s="63"/>
      <c r="U251" s="44"/>
      <c r="V251" s="64"/>
      <c r="W251" s="65"/>
      <c r="X251" s="66"/>
      <c r="Y251" s="66" t="s">
        <v>49</v>
      </c>
      <c r="Z251" s="63">
        <v>45068</v>
      </c>
      <c r="AA251" s="44"/>
    </row>
    <row r="252" spans="1:27" s="67" customFormat="1" ht="22.5">
      <c r="A252" s="44">
        <v>240</v>
      </c>
      <c r="B252" s="56" t="s">
        <v>665</v>
      </c>
      <c r="C252" s="44" t="s">
        <v>672</v>
      </c>
      <c r="D252" s="44" t="s">
        <v>673</v>
      </c>
      <c r="E252" s="68" t="s">
        <v>292</v>
      </c>
      <c r="F252" s="69">
        <v>15504004901212</v>
      </c>
      <c r="G252" s="101" t="s">
        <v>671</v>
      </c>
      <c r="H252" s="60">
        <v>31280</v>
      </c>
      <c r="I252" s="61">
        <v>1117</v>
      </c>
      <c r="J252" s="44" t="s">
        <v>37</v>
      </c>
      <c r="K252" s="60">
        <v>5943.2</v>
      </c>
      <c r="L252" s="60">
        <v>5943.2</v>
      </c>
      <c r="M252" s="60">
        <v>8233.02</v>
      </c>
      <c r="N252" s="60">
        <f t="shared" si="6"/>
        <v>20119.419999999998</v>
      </c>
      <c r="O252" s="62">
        <v>10000</v>
      </c>
      <c r="P252" s="60">
        <f t="shared" si="7"/>
        <v>30119.42</v>
      </c>
      <c r="Q252" s="44" t="s">
        <v>292</v>
      </c>
      <c r="R252" s="63">
        <v>44874</v>
      </c>
      <c r="S252" s="63">
        <v>45006</v>
      </c>
      <c r="T252" s="63"/>
      <c r="U252" s="44"/>
      <c r="V252" s="64"/>
      <c r="W252" s="65"/>
      <c r="X252" s="66"/>
      <c r="Y252" s="66" t="s">
        <v>49</v>
      </c>
      <c r="Z252" s="63">
        <v>45068</v>
      </c>
      <c r="AA252" s="44"/>
    </row>
    <row r="253" spans="1:27">
      <c r="A253" s="43">
        <v>241</v>
      </c>
      <c r="B253" s="33" t="s">
        <v>674</v>
      </c>
      <c r="C253" s="44" t="s">
        <v>675</v>
      </c>
      <c r="D253" s="43">
        <v>26368</v>
      </c>
      <c r="E253" s="45" t="s">
        <v>478</v>
      </c>
      <c r="F253" s="46">
        <v>15504005800716</v>
      </c>
      <c r="G253" s="47" t="s">
        <v>36</v>
      </c>
      <c r="H253" s="48">
        <v>11190</v>
      </c>
      <c r="I253" s="49">
        <v>17955</v>
      </c>
      <c r="J253" s="43" t="s">
        <v>37</v>
      </c>
      <c r="K253" s="48">
        <v>2126.1</v>
      </c>
      <c r="L253" s="48">
        <v>2126.1</v>
      </c>
      <c r="M253" s="48">
        <v>2945.28</v>
      </c>
      <c r="N253" s="48">
        <f t="shared" si="6"/>
        <v>7197.48</v>
      </c>
      <c r="O253" s="50">
        <v>10000</v>
      </c>
      <c r="P253" s="48">
        <f t="shared" si="7"/>
        <v>17197.48</v>
      </c>
      <c r="Q253" s="43" t="s">
        <v>478</v>
      </c>
      <c r="R253" s="51">
        <v>44875</v>
      </c>
      <c r="S253" s="51">
        <v>45005</v>
      </c>
      <c r="T253" s="51"/>
      <c r="U253" s="43"/>
      <c r="V253" s="52"/>
      <c r="W253" s="53">
        <v>45048</v>
      </c>
      <c r="X253" s="54"/>
      <c r="Y253" s="54" t="s">
        <v>49</v>
      </c>
      <c r="Z253" s="43"/>
      <c r="AA253" s="43"/>
    </row>
    <row r="254" spans="1:27" ht="25.5">
      <c r="A254" s="44">
        <v>242</v>
      </c>
      <c r="B254" s="33" t="s">
        <v>676</v>
      </c>
      <c r="C254" s="44" t="s">
        <v>677</v>
      </c>
      <c r="D254" s="43">
        <v>12426</v>
      </c>
      <c r="E254" s="91" t="s">
        <v>161</v>
      </c>
      <c r="F254" s="46">
        <v>15504004701734</v>
      </c>
      <c r="G254" s="47" t="s">
        <v>47</v>
      </c>
      <c r="H254" s="48">
        <v>15930</v>
      </c>
      <c r="I254" s="49">
        <v>177</v>
      </c>
      <c r="J254" s="43" t="s">
        <v>115</v>
      </c>
      <c r="K254" s="48">
        <v>2548.8000000000002</v>
      </c>
      <c r="L254" s="48">
        <v>2548.8000000000002</v>
      </c>
      <c r="M254" s="48">
        <v>3504.7</v>
      </c>
      <c r="N254" s="48">
        <f t="shared" si="6"/>
        <v>8602.2999999999993</v>
      </c>
      <c r="O254" s="50">
        <v>10000</v>
      </c>
      <c r="P254" s="48">
        <f t="shared" si="7"/>
        <v>18602.3</v>
      </c>
      <c r="Q254" s="43" t="s">
        <v>161</v>
      </c>
      <c r="R254" s="51">
        <v>44874</v>
      </c>
      <c r="S254" s="51">
        <v>45007</v>
      </c>
      <c r="T254" s="51"/>
      <c r="U254" s="43"/>
      <c r="V254" s="52"/>
      <c r="W254" s="53"/>
      <c r="X254" s="54"/>
      <c r="Y254" s="54"/>
      <c r="Z254" s="43"/>
      <c r="AA254" s="43"/>
    </row>
    <row r="255" spans="1:27">
      <c r="A255" s="44">
        <v>243</v>
      </c>
      <c r="B255" s="33" t="s">
        <v>678</v>
      </c>
      <c r="C255" s="44" t="s">
        <v>679</v>
      </c>
      <c r="D255" s="43">
        <v>4927</v>
      </c>
      <c r="E255" s="91" t="s">
        <v>478</v>
      </c>
      <c r="F255" s="46">
        <v>15504005800105</v>
      </c>
      <c r="G255" s="47" t="s">
        <v>36</v>
      </c>
      <c r="H255" s="48">
        <v>34800</v>
      </c>
      <c r="I255" s="49">
        <v>79410</v>
      </c>
      <c r="J255" s="43" t="s">
        <v>42</v>
      </c>
      <c r="K255" s="71">
        <v>6264</v>
      </c>
      <c r="L255" s="71">
        <v>6264</v>
      </c>
      <c r="M255" s="71">
        <v>8658.24</v>
      </c>
      <c r="N255" s="48">
        <f t="shared" si="6"/>
        <v>21186.239999999998</v>
      </c>
      <c r="O255" s="50">
        <v>10000</v>
      </c>
      <c r="P255" s="48">
        <f t="shared" si="7"/>
        <v>31186.239999999998</v>
      </c>
      <c r="Q255" s="43" t="s">
        <v>478</v>
      </c>
      <c r="R255" s="51">
        <v>44640</v>
      </c>
      <c r="S255" s="43"/>
      <c r="T255" s="43"/>
      <c r="U255" s="43"/>
      <c r="V255" s="72"/>
      <c r="W255" s="51">
        <v>45048</v>
      </c>
      <c r="X255" s="54"/>
      <c r="Y255" s="54" t="s">
        <v>49</v>
      </c>
      <c r="Z255" s="43"/>
      <c r="AA255" s="43"/>
    </row>
    <row r="256" spans="1:27" s="67" customFormat="1" ht="22.5">
      <c r="A256" s="43">
        <v>244</v>
      </c>
      <c r="B256" s="56" t="s">
        <v>680</v>
      </c>
      <c r="C256" s="44" t="s">
        <v>681</v>
      </c>
      <c r="D256" s="44">
        <v>35783</v>
      </c>
      <c r="E256" s="91" t="s">
        <v>682</v>
      </c>
      <c r="F256" s="69">
        <v>15504005900708</v>
      </c>
      <c r="G256" s="59" t="s">
        <v>47</v>
      </c>
      <c r="H256" s="60">
        <v>23400</v>
      </c>
      <c r="I256" s="61">
        <v>260</v>
      </c>
      <c r="J256" s="44" t="s">
        <v>37</v>
      </c>
      <c r="K256" s="60">
        <v>4446</v>
      </c>
      <c r="L256" s="60">
        <v>4446</v>
      </c>
      <c r="M256" s="60">
        <v>6158.88</v>
      </c>
      <c r="N256" s="60">
        <f t="shared" si="6"/>
        <v>15050.880000000001</v>
      </c>
      <c r="O256" s="62">
        <v>10000</v>
      </c>
      <c r="P256" s="60">
        <f t="shared" si="7"/>
        <v>25050.880000000001</v>
      </c>
      <c r="Q256" s="44" t="s">
        <v>682</v>
      </c>
      <c r="R256" s="63">
        <v>44874</v>
      </c>
      <c r="S256" s="63">
        <v>45015</v>
      </c>
      <c r="T256" s="44"/>
      <c r="U256" s="63"/>
      <c r="V256" s="64"/>
      <c r="W256" s="65">
        <v>45048</v>
      </c>
      <c r="X256" s="66"/>
      <c r="Y256" s="66" t="s">
        <v>49</v>
      </c>
      <c r="Z256" s="63">
        <v>45064</v>
      </c>
      <c r="AA256" s="44"/>
    </row>
    <row r="257" spans="1:27" s="67" customFormat="1" ht="22.5">
      <c r="A257" s="44">
        <v>245</v>
      </c>
      <c r="B257" s="56" t="s">
        <v>683</v>
      </c>
      <c r="C257" s="44" t="s">
        <v>684</v>
      </c>
      <c r="D257" s="44">
        <v>35782</v>
      </c>
      <c r="E257" s="91" t="s">
        <v>682</v>
      </c>
      <c r="F257" s="69">
        <v>15504005900709</v>
      </c>
      <c r="G257" s="59" t="s">
        <v>47</v>
      </c>
      <c r="H257" s="60">
        <v>23220</v>
      </c>
      <c r="I257" s="61">
        <v>258</v>
      </c>
      <c r="J257" s="44" t="s">
        <v>37</v>
      </c>
      <c r="K257" s="60">
        <v>4411.8</v>
      </c>
      <c r="L257" s="60">
        <v>4411.8</v>
      </c>
      <c r="M257" s="60">
        <v>6111.38</v>
      </c>
      <c r="N257" s="60">
        <f t="shared" si="6"/>
        <v>14934.98</v>
      </c>
      <c r="O257" s="62">
        <v>10000</v>
      </c>
      <c r="P257" s="60">
        <f t="shared" si="7"/>
        <v>24934.98</v>
      </c>
      <c r="Q257" s="44" t="s">
        <v>682</v>
      </c>
      <c r="R257" s="63">
        <v>44874</v>
      </c>
      <c r="S257" s="63">
        <v>45015</v>
      </c>
      <c r="T257" s="44"/>
      <c r="U257" s="63"/>
      <c r="V257" s="64"/>
      <c r="W257" s="65">
        <v>45048</v>
      </c>
      <c r="X257" s="66"/>
      <c r="Y257" s="66" t="s">
        <v>49</v>
      </c>
      <c r="Z257" s="63">
        <v>45064</v>
      </c>
      <c r="AA257" s="44"/>
    </row>
    <row r="258" spans="1:27" s="67" customFormat="1">
      <c r="A258" s="44">
        <v>246</v>
      </c>
      <c r="B258" s="56" t="s">
        <v>685</v>
      </c>
      <c r="C258" s="44" t="s">
        <v>686</v>
      </c>
      <c r="D258" s="44"/>
      <c r="E258" s="57" t="s">
        <v>145</v>
      </c>
      <c r="F258" s="69">
        <v>15504003301460</v>
      </c>
      <c r="G258" s="59" t="s">
        <v>157</v>
      </c>
      <c r="H258" s="60">
        <v>61030</v>
      </c>
      <c r="I258" s="61"/>
      <c r="J258" s="44" t="s">
        <v>315</v>
      </c>
      <c r="K258" s="60">
        <v>2441.1999999999998</v>
      </c>
      <c r="L258" s="60">
        <v>2441.1999999999998</v>
      </c>
      <c r="M258" s="60">
        <v>2880.62</v>
      </c>
      <c r="N258" s="60">
        <f t="shared" si="6"/>
        <v>7763.0199999999995</v>
      </c>
      <c r="O258" s="62">
        <v>10000</v>
      </c>
      <c r="P258" s="60">
        <f t="shared" si="7"/>
        <v>17763.02</v>
      </c>
      <c r="Q258" s="44" t="s">
        <v>145</v>
      </c>
      <c r="R258" s="63">
        <v>44979</v>
      </c>
      <c r="S258" s="63">
        <v>45008</v>
      </c>
      <c r="T258" s="44"/>
      <c r="U258" s="44"/>
      <c r="V258" s="64"/>
      <c r="W258" s="65">
        <v>45029</v>
      </c>
      <c r="X258" s="66"/>
      <c r="Y258" s="66"/>
      <c r="Z258" s="44" t="s">
        <v>49</v>
      </c>
      <c r="AA258" s="44"/>
    </row>
    <row r="259" spans="1:27" s="67" customFormat="1">
      <c r="A259" s="43">
        <v>247</v>
      </c>
      <c r="B259" s="56" t="s">
        <v>687</v>
      </c>
      <c r="C259" s="44" t="s">
        <v>688</v>
      </c>
      <c r="D259" s="44"/>
      <c r="E259" s="57" t="s">
        <v>292</v>
      </c>
      <c r="F259" s="69">
        <v>15504004902502</v>
      </c>
      <c r="G259" s="59" t="s">
        <v>36</v>
      </c>
      <c r="H259" s="60">
        <v>13560</v>
      </c>
      <c r="I259" s="61">
        <v>16493</v>
      </c>
      <c r="J259" s="44" t="s">
        <v>74</v>
      </c>
      <c r="K259" s="60">
        <v>1491.6</v>
      </c>
      <c r="L259" s="60">
        <v>1491.6</v>
      </c>
      <c r="M259" s="60">
        <v>2006.84</v>
      </c>
      <c r="N259" s="60">
        <f t="shared" si="6"/>
        <v>4990.04</v>
      </c>
      <c r="O259" s="62">
        <v>10000</v>
      </c>
      <c r="P259" s="60">
        <f t="shared" si="7"/>
        <v>14990.04</v>
      </c>
      <c r="Q259" s="44" t="s">
        <v>292</v>
      </c>
      <c r="R259" s="63">
        <v>44774</v>
      </c>
      <c r="S259" s="63"/>
      <c r="T259" s="63"/>
      <c r="U259" s="44"/>
      <c r="V259" s="64"/>
      <c r="W259" s="65"/>
      <c r="X259" s="66"/>
      <c r="Y259" s="66" t="s">
        <v>49</v>
      </c>
      <c r="Z259" s="44"/>
      <c r="AA259" s="44"/>
    </row>
    <row r="260" spans="1:27" ht="25.5">
      <c r="A260" s="44">
        <v>248</v>
      </c>
      <c r="B260" s="33" t="s">
        <v>689</v>
      </c>
      <c r="C260" s="44" t="s">
        <v>690</v>
      </c>
      <c r="D260" s="43" t="s">
        <v>691</v>
      </c>
      <c r="E260" s="57" t="s">
        <v>145</v>
      </c>
      <c r="F260" s="46">
        <v>15504003300224</v>
      </c>
      <c r="G260" s="47" t="s">
        <v>47</v>
      </c>
      <c r="H260" s="48">
        <v>18250</v>
      </c>
      <c r="I260" s="49">
        <v>434.5</v>
      </c>
      <c r="J260" s="43" t="s">
        <v>692</v>
      </c>
      <c r="K260" s="48">
        <v>2372.5</v>
      </c>
      <c r="L260" s="48">
        <v>2372.5</v>
      </c>
      <c r="M260" s="48">
        <v>3226.6</v>
      </c>
      <c r="N260" s="48">
        <f t="shared" si="6"/>
        <v>7971.6</v>
      </c>
      <c r="O260" s="50">
        <v>10000</v>
      </c>
      <c r="P260" s="48">
        <f t="shared" si="7"/>
        <v>17971.599999999999</v>
      </c>
      <c r="Q260" s="43" t="s">
        <v>145</v>
      </c>
      <c r="R260" s="51">
        <v>44979</v>
      </c>
      <c r="S260" s="51">
        <v>45008</v>
      </c>
      <c r="T260" s="43"/>
      <c r="U260" s="43"/>
      <c r="V260" s="52"/>
      <c r="W260" s="53">
        <v>45029</v>
      </c>
      <c r="X260" s="54"/>
      <c r="Y260" s="54"/>
      <c r="Z260" s="43" t="s">
        <v>38</v>
      </c>
      <c r="AA260" s="43"/>
    </row>
    <row r="261" spans="1:27" s="67" customFormat="1">
      <c r="A261" s="44">
        <v>249</v>
      </c>
      <c r="B261" s="56" t="s">
        <v>689</v>
      </c>
      <c r="C261" s="44" t="s">
        <v>693</v>
      </c>
      <c r="D261" s="44" t="s">
        <v>694</v>
      </c>
      <c r="E261" s="57" t="s">
        <v>145</v>
      </c>
      <c r="F261" s="69">
        <v>15504003300222</v>
      </c>
      <c r="G261" s="59" t="s">
        <v>47</v>
      </c>
      <c r="H261" s="60">
        <v>10950</v>
      </c>
      <c r="I261" s="61">
        <v>260.7</v>
      </c>
      <c r="J261" s="44" t="s">
        <v>692</v>
      </c>
      <c r="K261" s="60">
        <v>1423.5</v>
      </c>
      <c r="L261" s="60">
        <v>1423.5</v>
      </c>
      <c r="M261" s="60">
        <v>1935.96</v>
      </c>
      <c r="N261" s="60">
        <f t="shared" si="6"/>
        <v>4782.96</v>
      </c>
      <c r="O261" s="62">
        <v>10000</v>
      </c>
      <c r="P261" s="60">
        <f t="shared" si="7"/>
        <v>14782.96</v>
      </c>
      <c r="Q261" s="44" t="s">
        <v>145</v>
      </c>
      <c r="R261" s="63">
        <v>44979</v>
      </c>
      <c r="S261" s="63">
        <v>45008</v>
      </c>
      <c r="T261" s="44"/>
      <c r="U261" s="44"/>
      <c r="V261" s="64"/>
      <c r="W261" s="65">
        <v>45029</v>
      </c>
      <c r="X261" s="66"/>
      <c r="Y261" s="66"/>
      <c r="Z261" s="44" t="s">
        <v>38</v>
      </c>
      <c r="AA261" s="44"/>
    </row>
    <row r="262" spans="1:27" s="67" customFormat="1">
      <c r="A262" s="43">
        <v>250</v>
      </c>
      <c r="B262" s="56" t="s">
        <v>689</v>
      </c>
      <c r="C262" s="44" t="s">
        <v>695</v>
      </c>
      <c r="D262" s="44" t="s">
        <v>696</v>
      </c>
      <c r="E262" s="57" t="s">
        <v>145</v>
      </c>
      <c r="F262" s="69">
        <v>15504003300230</v>
      </c>
      <c r="G262" s="59" t="s">
        <v>36</v>
      </c>
      <c r="H262" s="60">
        <v>130</v>
      </c>
      <c r="I262" s="61">
        <v>215</v>
      </c>
      <c r="J262" s="44" t="s">
        <v>315</v>
      </c>
      <c r="K262" s="60">
        <v>5.2</v>
      </c>
      <c r="L262" s="60">
        <v>5.2</v>
      </c>
      <c r="M262" s="60">
        <v>6.14</v>
      </c>
      <c r="N262" s="60">
        <f t="shared" si="6"/>
        <v>16.54</v>
      </c>
      <c r="O262" s="62">
        <v>10000</v>
      </c>
      <c r="P262" s="60">
        <f t="shared" si="7"/>
        <v>10016.540000000001</v>
      </c>
      <c r="Q262" s="44" t="s">
        <v>145</v>
      </c>
      <c r="R262" s="63">
        <v>44979</v>
      </c>
      <c r="S262" s="63">
        <v>45008</v>
      </c>
      <c r="T262" s="44"/>
      <c r="U262" s="44"/>
      <c r="V262" s="64"/>
      <c r="W262" s="65">
        <v>45029</v>
      </c>
      <c r="X262" s="66"/>
      <c r="Y262" s="66"/>
      <c r="Z262" s="44" t="s">
        <v>38</v>
      </c>
      <c r="AA262" s="44"/>
    </row>
    <row r="263" spans="1:27" s="67" customFormat="1">
      <c r="A263" s="44">
        <v>251</v>
      </c>
      <c r="B263" s="56" t="s">
        <v>689</v>
      </c>
      <c r="C263" s="44" t="s">
        <v>697</v>
      </c>
      <c r="D263" s="44" t="s">
        <v>698</v>
      </c>
      <c r="E263" s="57" t="s">
        <v>145</v>
      </c>
      <c r="F263" s="69">
        <v>15504003300229</v>
      </c>
      <c r="G263" s="59" t="s">
        <v>699</v>
      </c>
      <c r="H263" s="60">
        <v>50</v>
      </c>
      <c r="I263" s="61">
        <v>76</v>
      </c>
      <c r="J263" s="44" t="s">
        <v>315</v>
      </c>
      <c r="K263" s="60">
        <v>2</v>
      </c>
      <c r="L263" s="60">
        <v>2</v>
      </c>
      <c r="M263" s="60">
        <v>2.2999999999999998</v>
      </c>
      <c r="N263" s="60">
        <f t="shared" si="6"/>
        <v>6.3</v>
      </c>
      <c r="O263" s="62">
        <v>10000</v>
      </c>
      <c r="P263" s="60">
        <f t="shared" si="7"/>
        <v>10006.299999999999</v>
      </c>
      <c r="Q263" s="44" t="s">
        <v>145</v>
      </c>
      <c r="R263" s="63">
        <v>44979</v>
      </c>
      <c r="S263" s="63">
        <v>45008</v>
      </c>
      <c r="T263" s="44"/>
      <c r="U263" s="44"/>
      <c r="V263" s="64"/>
      <c r="W263" s="65">
        <v>45029</v>
      </c>
      <c r="X263" s="66"/>
      <c r="Y263" s="66"/>
      <c r="Z263" s="44" t="s">
        <v>38</v>
      </c>
      <c r="AA263" s="44"/>
    </row>
    <row r="264" spans="1:27" s="67" customFormat="1">
      <c r="A264" s="44">
        <v>252</v>
      </c>
      <c r="B264" s="56" t="s">
        <v>689</v>
      </c>
      <c r="C264" s="44" t="s">
        <v>700</v>
      </c>
      <c r="D264" s="44" t="s">
        <v>701</v>
      </c>
      <c r="E264" s="57" t="s">
        <v>145</v>
      </c>
      <c r="F264" s="69">
        <v>15504003300235</v>
      </c>
      <c r="G264" s="59" t="s">
        <v>36</v>
      </c>
      <c r="H264" s="60">
        <v>230</v>
      </c>
      <c r="I264" s="61">
        <v>381</v>
      </c>
      <c r="J264" s="44" t="s">
        <v>315</v>
      </c>
      <c r="K264" s="60">
        <v>9.1999999999999993</v>
      </c>
      <c r="L264" s="60">
        <v>9.1999999999999993</v>
      </c>
      <c r="M264" s="60">
        <v>10.86</v>
      </c>
      <c r="N264" s="60">
        <f t="shared" si="6"/>
        <v>29.259999999999998</v>
      </c>
      <c r="O264" s="62">
        <v>10000</v>
      </c>
      <c r="P264" s="60">
        <f t="shared" si="7"/>
        <v>10029.26</v>
      </c>
      <c r="Q264" s="44" t="s">
        <v>145</v>
      </c>
      <c r="R264" s="63">
        <v>44979</v>
      </c>
      <c r="S264" s="63">
        <v>45008</v>
      </c>
      <c r="T264" s="44"/>
      <c r="U264" s="44"/>
      <c r="V264" s="64"/>
      <c r="W264" s="65">
        <v>45029</v>
      </c>
      <c r="X264" s="66"/>
      <c r="Y264" s="66"/>
      <c r="Z264" s="44" t="s">
        <v>38</v>
      </c>
      <c r="AA264" s="44"/>
    </row>
    <row r="265" spans="1:27" s="67" customFormat="1">
      <c r="A265" s="43">
        <v>253</v>
      </c>
      <c r="B265" s="56" t="s">
        <v>689</v>
      </c>
      <c r="C265" s="44" t="s">
        <v>702</v>
      </c>
      <c r="D265" s="44" t="s">
        <v>703</v>
      </c>
      <c r="E265" s="68" t="s">
        <v>145</v>
      </c>
      <c r="F265" s="69">
        <v>15504003300232</v>
      </c>
      <c r="G265" s="59" t="s">
        <v>699</v>
      </c>
      <c r="H265" s="60">
        <v>40</v>
      </c>
      <c r="I265" s="61">
        <v>68</v>
      </c>
      <c r="J265" s="44" t="s">
        <v>315</v>
      </c>
      <c r="K265" s="60">
        <v>1.6</v>
      </c>
      <c r="L265" s="60">
        <v>1.6</v>
      </c>
      <c r="M265" s="60">
        <v>1.9</v>
      </c>
      <c r="N265" s="60">
        <f t="shared" si="6"/>
        <v>5.0999999999999996</v>
      </c>
      <c r="O265" s="62">
        <v>10000</v>
      </c>
      <c r="P265" s="60">
        <f t="shared" si="7"/>
        <v>10005.1</v>
      </c>
      <c r="Q265" s="44" t="s">
        <v>145</v>
      </c>
      <c r="R265" s="63">
        <v>44979</v>
      </c>
      <c r="S265" s="63">
        <v>45008</v>
      </c>
      <c r="T265" s="44"/>
      <c r="U265" s="44"/>
      <c r="V265" s="64"/>
      <c r="W265" s="65">
        <v>45029</v>
      </c>
      <c r="X265" s="66"/>
      <c r="Y265" s="66"/>
      <c r="Z265" s="44" t="s">
        <v>38</v>
      </c>
      <c r="AA265" s="44"/>
    </row>
    <row r="266" spans="1:27" s="67" customFormat="1">
      <c r="A266" s="44">
        <v>254</v>
      </c>
      <c r="B266" s="56" t="s">
        <v>689</v>
      </c>
      <c r="C266" s="44" t="s">
        <v>704</v>
      </c>
      <c r="D266" s="44" t="s">
        <v>705</v>
      </c>
      <c r="E266" s="68" t="s">
        <v>145</v>
      </c>
      <c r="F266" s="69">
        <v>15504003300234</v>
      </c>
      <c r="G266" s="59" t="s">
        <v>36</v>
      </c>
      <c r="H266" s="60">
        <v>230</v>
      </c>
      <c r="I266" s="61">
        <v>382</v>
      </c>
      <c r="J266" s="44" t="s">
        <v>315</v>
      </c>
      <c r="K266" s="60">
        <v>9.1999999999999993</v>
      </c>
      <c r="L266" s="60">
        <v>9.1999999999999993</v>
      </c>
      <c r="M266" s="60">
        <v>10.86</v>
      </c>
      <c r="N266" s="60">
        <f t="shared" si="6"/>
        <v>29.259999999999998</v>
      </c>
      <c r="O266" s="62">
        <v>10000</v>
      </c>
      <c r="P266" s="60">
        <f t="shared" si="7"/>
        <v>10029.26</v>
      </c>
      <c r="Q266" s="44" t="s">
        <v>145</v>
      </c>
      <c r="R266" s="63">
        <v>44979</v>
      </c>
      <c r="S266" s="63">
        <v>45008</v>
      </c>
      <c r="T266" s="44"/>
      <c r="U266" s="44"/>
      <c r="V266" s="64"/>
      <c r="W266" s="65">
        <v>45029</v>
      </c>
      <c r="X266" s="66"/>
      <c r="Y266" s="66"/>
      <c r="Z266" s="44" t="s">
        <v>38</v>
      </c>
      <c r="AA266" s="44"/>
    </row>
    <row r="267" spans="1:27" s="67" customFormat="1">
      <c r="A267" s="44">
        <v>255</v>
      </c>
      <c r="B267" s="56" t="s">
        <v>706</v>
      </c>
      <c r="C267" s="44" t="s">
        <v>707</v>
      </c>
      <c r="D267" s="70" t="s">
        <v>708</v>
      </c>
      <c r="E267" s="68" t="s">
        <v>161</v>
      </c>
      <c r="F267" s="69">
        <v>15504004702229</v>
      </c>
      <c r="G267" s="59" t="s">
        <v>47</v>
      </c>
      <c r="H267" s="60">
        <v>10080</v>
      </c>
      <c r="I267" s="61">
        <v>112</v>
      </c>
      <c r="J267" s="44" t="s">
        <v>631</v>
      </c>
      <c r="K267" s="60">
        <f>1512+201.6</f>
        <v>1713.6</v>
      </c>
      <c r="L267" s="60">
        <v>1713.6</v>
      </c>
      <c r="M267" s="60">
        <f>2177.4+185.46</f>
        <v>2362.86</v>
      </c>
      <c r="N267" s="60">
        <f t="shared" si="6"/>
        <v>5790.0599999999995</v>
      </c>
      <c r="O267" s="62">
        <v>10000</v>
      </c>
      <c r="P267" s="60">
        <f t="shared" si="7"/>
        <v>15790.06</v>
      </c>
      <c r="Q267" s="44" t="s">
        <v>161</v>
      </c>
      <c r="R267" s="63">
        <v>44999</v>
      </c>
      <c r="S267" s="63">
        <v>45008</v>
      </c>
      <c r="T267" s="44"/>
      <c r="U267" s="44"/>
      <c r="V267" s="64"/>
      <c r="W267" s="63">
        <v>45019</v>
      </c>
      <c r="X267" s="94"/>
      <c r="Y267" s="66"/>
      <c r="Z267" s="44" t="s">
        <v>54</v>
      </c>
      <c r="AA267" s="44"/>
    </row>
    <row r="268" spans="1:27" s="67" customFormat="1">
      <c r="A268" s="43">
        <v>256</v>
      </c>
      <c r="B268" s="56" t="s">
        <v>706</v>
      </c>
      <c r="C268" s="44" t="s">
        <v>709</v>
      </c>
      <c r="D268" s="70" t="s">
        <v>710</v>
      </c>
      <c r="E268" s="68" t="s">
        <v>161</v>
      </c>
      <c r="F268" s="69">
        <v>15504004702294</v>
      </c>
      <c r="G268" s="59" t="s">
        <v>47</v>
      </c>
      <c r="H268" s="60">
        <v>65250</v>
      </c>
      <c r="I268" s="61">
        <v>725</v>
      </c>
      <c r="J268" s="44" t="s">
        <v>692</v>
      </c>
      <c r="K268" s="60">
        <v>8482.5</v>
      </c>
      <c r="L268" s="60">
        <v>8482.5</v>
      </c>
      <c r="M268" s="60">
        <v>11536.2</v>
      </c>
      <c r="N268" s="60">
        <f t="shared" si="6"/>
        <v>28501.200000000001</v>
      </c>
      <c r="O268" s="62">
        <v>10000</v>
      </c>
      <c r="P268" s="60">
        <f t="shared" si="7"/>
        <v>38501.199999999997</v>
      </c>
      <c r="Q268" s="44" t="s">
        <v>161</v>
      </c>
      <c r="R268" s="63">
        <v>44999</v>
      </c>
      <c r="S268" s="63">
        <v>45008</v>
      </c>
      <c r="T268" s="44"/>
      <c r="U268" s="44"/>
      <c r="V268" s="64"/>
      <c r="W268" s="63">
        <v>45019</v>
      </c>
      <c r="X268" s="94"/>
      <c r="Y268" s="66"/>
      <c r="Z268" s="44" t="s">
        <v>54</v>
      </c>
      <c r="AA268" s="44"/>
    </row>
    <row r="269" spans="1:27" s="67" customFormat="1">
      <c r="A269" s="44">
        <v>257</v>
      </c>
      <c r="B269" s="56" t="s">
        <v>706</v>
      </c>
      <c r="C269" s="44" t="s">
        <v>707</v>
      </c>
      <c r="D269" s="44"/>
      <c r="E269" s="68" t="s">
        <v>161</v>
      </c>
      <c r="F269" s="69">
        <v>15504004702229</v>
      </c>
      <c r="G269" s="59" t="s">
        <v>47</v>
      </c>
      <c r="H269" s="60">
        <v>10080</v>
      </c>
      <c r="I269" s="61">
        <v>112</v>
      </c>
      <c r="J269" s="44" t="s">
        <v>631</v>
      </c>
      <c r="K269" s="60">
        <v>1713.6</v>
      </c>
      <c r="L269" s="60">
        <v>1713.6</v>
      </c>
      <c r="M269" s="60">
        <v>2362.86</v>
      </c>
      <c r="N269" s="60">
        <f t="shared" si="6"/>
        <v>5790.0599999999995</v>
      </c>
      <c r="O269" s="62">
        <v>10000</v>
      </c>
      <c r="P269" s="60">
        <f t="shared" si="7"/>
        <v>15790.06</v>
      </c>
      <c r="Q269" s="44" t="s">
        <v>161</v>
      </c>
      <c r="R269" s="63">
        <v>44999</v>
      </c>
      <c r="S269" s="63">
        <v>45008</v>
      </c>
      <c r="T269" s="44"/>
      <c r="U269" s="44"/>
      <c r="V269" s="64"/>
      <c r="W269" s="65"/>
      <c r="X269" s="94">
        <v>45019</v>
      </c>
      <c r="Y269" s="66"/>
      <c r="Z269" s="44"/>
      <c r="AA269" s="44"/>
    </row>
    <row r="270" spans="1:27" s="67" customFormat="1">
      <c r="A270" s="44">
        <v>258</v>
      </c>
      <c r="B270" s="56" t="s">
        <v>706</v>
      </c>
      <c r="C270" s="44" t="s">
        <v>709</v>
      </c>
      <c r="D270" s="44"/>
      <c r="E270" s="68" t="s">
        <v>161</v>
      </c>
      <c r="F270" s="69">
        <v>15504004702294</v>
      </c>
      <c r="G270" s="59" t="s">
        <v>47</v>
      </c>
      <c r="H270" s="60">
        <v>65250</v>
      </c>
      <c r="I270" s="61">
        <v>725</v>
      </c>
      <c r="J270" s="44" t="s">
        <v>692</v>
      </c>
      <c r="K270" s="60">
        <v>8482.5</v>
      </c>
      <c r="L270" s="60">
        <v>8482.5</v>
      </c>
      <c r="M270" s="60">
        <v>11536.2</v>
      </c>
      <c r="N270" s="60">
        <f t="shared" ref="N270:N333" si="8">K270+L270+M270</f>
        <v>28501.200000000001</v>
      </c>
      <c r="O270" s="62">
        <v>10000</v>
      </c>
      <c r="P270" s="60">
        <f t="shared" ref="P270:P333" si="9">K270+L270+M270+O270</f>
        <v>38501.199999999997</v>
      </c>
      <c r="Q270" s="44" t="s">
        <v>161</v>
      </c>
      <c r="R270" s="63">
        <v>44999</v>
      </c>
      <c r="S270" s="63">
        <v>45008</v>
      </c>
      <c r="T270" s="44"/>
      <c r="U270" s="44"/>
      <c r="V270" s="64"/>
      <c r="W270" s="65"/>
      <c r="X270" s="94">
        <v>45019</v>
      </c>
      <c r="Y270" s="66"/>
      <c r="Z270" s="44"/>
      <c r="AA270" s="44"/>
    </row>
    <row r="271" spans="1:27" s="67" customFormat="1">
      <c r="A271" s="43">
        <v>259</v>
      </c>
      <c r="B271" s="56" t="s">
        <v>711</v>
      </c>
      <c r="C271" s="44" t="s">
        <v>712</v>
      </c>
      <c r="D271" s="44" t="s">
        <v>713</v>
      </c>
      <c r="E271" s="68" t="s">
        <v>714</v>
      </c>
      <c r="F271" s="69">
        <v>15504001300355</v>
      </c>
      <c r="G271" s="59" t="s">
        <v>511</v>
      </c>
      <c r="H271" s="60">
        <v>7210</v>
      </c>
      <c r="I271" s="61">
        <v>68</v>
      </c>
      <c r="J271" s="44" t="s">
        <v>37</v>
      </c>
      <c r="K271" s="60">
        <v>1369.9</v>
      </c>
      <c r="L271" s="60">
        <v>1369.9</v>
      </c>
      <c r="M271" s="60">
        <v>1897.6</v>
      </c>
      <c r="N271" s="60">
        <f t="shared" si="8"/>
        <v>4637.3999999999996</v>
      </c>
      <c r="O271" s="62">
        <v>10000</v>
      </c>
      <c r="P271" s="60">
        <f t="shared" si="9"/>
        <v>14637.4</v>
      </c>
      <c r="Q271" s="44" t="s">
        <v>714</v>
      </c>
      <c r="R271" s="63">
        <v>44876</v>
      </c>
      <c r="S271" s="63">
        <v>45006</v>
      </c>
      <c r="T271" s="63"/>
      <c r="U271" s="44"/>
      <c r="V271" s="64"/>
      <c r="W271" s="65">
        <v>45041</v>
      </c>
      <c r="X271" s="66"/>
      <c r="Y271" s="66" t="s">
        <v>49</v>
      </c>
      <c r="Z271" s="44"/>
      <c r="AA271" s="44"/>
    </row>
    <row r="272" spans="1:27">
      <c r="A272" s="44">
        <v>260</v>
      </c>
      <c r="B272" s="33" t="s">
        <v>715</v>
      </c>
      <c r="C272" s="44" t="s">
        <v>716</v>
      </c>
      <c r="D272" s="43">
        <v>6278</v>
      </c>
      <c r="E272" s="45" t="s">
        <v>270</v>
      </c>
      <c r="F272" s="46">
        <v>15504005408502</v>
      </c>
      <c r="G272" s="47" t="s">
        <v>36</v>
      </c>
      <c r="H272" s="48">
        <v>53570</v>
      </c>
      <c r="I272" s="49">
        <v>70000</v>
      </c>
      <c r="J272" s="43" t="s">
        <v>37</v>
      </c>
      <c r="K272" s="48">
        <v>10178.299999999999</v>
      </c>
      <c r="L272" s="48">
        <v>10178.299999999999</v>
      </c>
      <c r="M272" s="48">
        <v>14142.34</v>
      </c>
      <c r="N272" s="48">
        <f t="shared" si="8"/>
        <v>34498.94</v>
      </c>
      <c r="O272" s="50">
        <v>10000</v>
      </c>
      <c r="P272" s="48">
        <f t="shared" si="9"/>
        <v>44498.94</v>
      </c>
      <c r="Q272" s="43" t="s">
        <v>270</v>
      </c>
      <c r="R272" s="51">
        <v>44889</v>
      </c>
      <c r="S272" s="51">
        <v>45014</v>
      </c>
      <c r="T272" s="51"/>
      <c r="U272" s="43"/>
      <c r="V272" s="52"/>
      <c r="W272" s="53"/>
      <c r="X272" s="54"/>
      <c r="Y272" s="54"/>
      <c r="Z272" s="43"/>
      <c r="AA272" s="43"/>
    </row>
    <row r="273" spans="1:52" s="67" customFormat="1">
      <c r="A273" s="44">
        <v>261</v>
      </c>
      <c r="B273" s="56" t="s">
        <v>717</v>
      </c>
      <c r="C273" s="44" t="s">
        <v>718</v>
      </c>
      <c r="D273" s="44" t="s">
        <v>719</v>
      </c>
      <c r="E273" s="68" t="s">
        <v>145</v>
      </c>
      <c r="F273" s="69">
        <v>15504003300816</v>
      </c>
      <c r="G273" s="59" t="s">
        <v>47</v>
      </c>
      <c r="H273" s="60">
        <v>42420</v>
      </c>
      <c r="I273" s="61">
        <v>1010</v>
      </c>
      <c r="J273" s="44" t="s">
        <v>37</v>
      </c>
      <c r="K273" s="60"/>
      <c r="L273" s="60"/>
      <c r="M273" s="60"/>
      <c r="N273" s="60">
        <f t="shared" si="8"/>
        <v>0</v>
      </c>
      <c r="O273" s="62">
        <v>10000</v>
      </c>
      <c r="P273" s="60">
        <f t="shared" si="9"/>
        <v>10000</v>
      </c>
      <c r="Q273" s="44" t="s">
        <v>145</v>
      </c>
      <c r="R273" s="63">
        <v>44873</v>
      </c>
      <c r="S273" s="63">
        <v>45013</v>
      </c>
      <c r="T273" s="63"/>
      <c r="U273" s="44"/>
      <c r="V273" s="64"/>
      <c r="W273" s="65">
        <v>45040</v>
      </c>
      <c r="X273" s="66" t="s">
        <v>720</v>
      </c>
      <c r="Y273" s="66"/>
      <c r="Z273" s="44"/>
      <c r="AA273" s="44"/>
    </row>
    <row r="274" spans="1:52" s="67" customFormat="1">
      <c r="A274" s="43">
        <v>262</v>
      </c>
      <c r="B274" s="56" t="s">
        <v>721</v>
      </c>
      <c r="C274" s="44" t="s">
        <v>722</v>
      </c>
      <c r="D274" s="44">
        <v>10341</v>
      </c>
      <c r="E274" s="68" t="s">
        <v>723</v>
      </c>
      <c r="F274" s="69">
        <v>15504004902207</v>
      </c>
      <c r="G274" s="59" t="s">
        <v>724</v>
      </c>
      <c r="H274" s="60">
        <v>16830</v>
      </c>
      <c r="I274" s="61">
        <v>476</v>
      </c>
      <c r="J274" s="44" t="s">
        <v>37</v>
      </c>
      <c r="K274" s="60">
        <v>3197.7</v>
      </c>
      <c r="L274" s="60">
        <v>3197.7</v>
      </c>
      <c r="M274" s="60">
        <v>4429.78</v>
      </c>
      <c r="N274" s="60">
        <f t="shared" si="8"/>
        <v>10825.18</v>
      </c>
      <c r="O274" s="62">
        <v>10000</v>
      </c>
      <c r="P274" s="60">
        <f t="shared" si="9"/>
        <v>20825.18</v>
      </c>
      <c r="Q274" s="44" t="s">
        <v>723</v>
      </c>
      <c r="R274" s="63">
        <v>44880</v>
      </c>
      <c r="S274" s="63">
        <v>45013</v>
      </c>
      <c r="T274" s="63"/>
      <c r="U274" s="44"/>
      <c r="V274" s="64"/>
      <c r="W274" s="65"/>
      <c r="X274" s="44"/>
      <c r="Y274" s="67" t="s">
        <v>49</v>
      </c>
      <c r="Z274" s="63">
        <v>45061</v>
      </c>
      <c r="AA274" s="44"/>
      <c r="AZ274" s="67">
        <v>10000</v>
      </c>
    </row>
    <row r="275" spans="1:52" s="67" customFormat="1">
      <c r="A275" s="44">
        <v>263</v>
      </c>
      <c r="B275" s="56" t="s">
        <v>721</v>
      </c>
      <c r="C275" s="44" t="s">
        <v>725</v>
      </c>
      <c r="D275" s="44" t="s">
        <v>726</v>
      </c>
      <c r="E275" s="68" t="s">
        <v>723</v>
      </c>
      <c r="F275" s="69">
        <v>15504004902401</v>
      </c>
      <c r="G275" s="59" t="s">
        <v>47</v>
      </c>
      <c r="H275" s="60">
        <v>17780</v>
      </c>
      <c r="I275" s="61">
        <v>635</v>
      </c>
      <c r="J275" s="44" t="s">
        <v>37</v>
      </c>
      <c r="K275" s="60">
        <v>3378.2</v>
      </c>
      <c r="L275" s="60">
        <v>3378.2</v>
      </c>
      <c r="M275" s="60">
        <v>4679.82</v>
      </c>
      <c r="N275" s="60">
        <f t="shared" si="8"/>
        <v>11436.22</v>
      </c>
      <c r="O275" s="62">
        <v>10000</v>
      </c>
      <c r="P275" s="60">
        <f t="shared" si="9"/>
        <v>21436.22</v>
      </c>
      <c r="Q275" s="44" t="s">
        <v>723</v>
      </c>
      <c r="R275" s="63">
        <v>44880</v>
      </c>
      <c r="S275" s="63">
        <v>45013</v>
      </c>
      <c r="T275" s="63"/>
      <c r="U275" s="44"/>
      <c r="V275" s="64"/>
      <c r="W275" s="65"/>
      <c r="X275" s="44"/>
      <c r="Y275" s="67" t="s">
        <v>49</v>
      </c>
      <c r="Z275" s="63">
        <v>45061</v>
      </c>
      <c r="AA275" s="44"/>
    </row>
    <row r="276" spans="1:52" s="67" customFormat="1">
      <c r="A276" s="44">
        <v>264</v>
      </c>
      <c r="B276" s="56" t="s">
        <v>721</v>
      </c>
      <c r="C276" s="44" t="s">
        <v>727</v>
      </c>
      <c r="D276" s="44" t="s">
        <v>728</v>
      </c>
      <c r="E276" s="68" t="s">
        <v>723</v>
      </c>
      <c r="F276" s="69">
        <v>15504004901024</v>
      </c>
      <c r="G276" s="59" t="s">
        <v>47</v>
      </c>
      <c r="H276" s="60">
        <v>17720</v>
      </c>
      <c r="I276" s="61">
        <v>633</v>
      </c>
      <c r="J276" s="44" t="s">
        <v>37</v>
      </c>
      <c r="K276" s="60">
        <v>3366.8</v>
      </c>
      <c r="L276" s="60">
        <v>3366.8</v>
      </c>
      <c r="M276" s="60">
        <v>4663.78</v>
      </c>
      <c r="N276" s="60">
        <f t="shared" si="8"/>
        <v>11397.380000000001</v>
      </c>
      <c r="O276" s="62">
        <v>10000</v>
      </c>
      <c r="P276" s="60">
        <f t="shared" si="9"/>
        <v>21397.38</v>
      </c>
      <c r="Q276" s="44" t="s">
        <v>723</v>
      </c>
      <c r="R276" s="63">
        <v>44880</v>
      </c>
      <c r="S276" s="63">
        <v>45013</v>
      </c>
      <c r="T276" s="63"/>
      <c r="U276" s="44"/>
      <c r="V276" s="64"/>
      <c r="W276" s="65"/>
      <c r="X276" s="44"/>
      <c r="Y276" s="67" t="s">
        <v>49</v>
      </c>
      <c r="Z276" s="63">
        <v>45061</v>
      </c>
      <c r="AA276" s="44"/>
    </row>
    <row r="277" spans="1:52" s="67" customFormat="1">
      <c r="A277" s="43">
        <v>265</v>
      </c>
      <c r="B277" s="56" t="s">
        <v>721</v>
      </c>
      <c r="C277" s="44" t="s">
        <v>729</v>
      </c>
      <c r="D277" s="44" t="s">
        <v>730</v>
      </c>
      <c r="E277" s="68" t="s">
        <v>723</v>
      </c>
      <c r="F277" s="69">
        <v>15504004902214</v>
      </c>
      <c r="G277" s="59" t="s">
        <v>47</v>
      </c>
      <c r="H277" s="60">
        <v>17720</v>
      </c>
      <c r="I277" s="61">
        <v>633</v>
      </c>
      <c r="J277" s="44" t="s">
        <v>37</v>
      </c>
      <c r="K277" s="60">
        <v>3366.8</v>
      </c>
      <c r="L277" s="60">
        <v>3366.8</v>
      </c>
      <c r="M277" s="60">
        <v>4663.78</v>
      </c>
      <c r="N277" s="60">
        <f t="shared" si="8"/>
        <v>11397.380000000001</v>
      </c>
      <c r="O277" s="62">
        <v>10000</v>
      </c>
      <c r="P277" s="60">
        <f t="shared" si="9"/>
        <v>21397.38</v>
      </c>
      <c r="Q277" s="44" t="s">
        <v>723</v>
      </c>
      <c r="R277" s="63">
        <v>44880</v>
      </c>
      <c r="S277" s="63">
        <v>37708</v>
      </c>
      <c r="T277" s="63"/>
      <c r="U277" s="44"/>
      <c r="V277" s="64"/>
      <c r="W277" s="65"/>
      <c r="X277" s="44"/>
      <c r="Y277" s="67" t="s">
        <v>49</v>
      </c>
      <c r="Z277" s="63">
        <v>45061</v>
      </c>
      <c r="AA277" s="44"/>
    </row>
    <row r="278" spans="1:52" s="67" customFormat="1">
      <c r="A278" s="44">
        <v>266</v>
      </c>
      <c r="B278" s="56" t="s">
        <v>721</v>
      </c>
      <c r="C278" s="44" t="s">
        <v>731</v>
      </c>
      <c r="D278" s="44" t="s">
        <v>732</v>
      </c>
      <c r="E278" s="68" t="s">
        <v>723</v>
      </c>
      <c r="F278" s="69">
        <v>15504004901502</v>
      </c>
      <c r="G278" s="59" t="s">
        <v>47</v>
      </c>
      <c r="H278" s="60">
        <v>11060</v>
      </c>
      <c r="I278" s="61">
        <v>395</v>
      </c>
      <c r="J278" s="44" t="s">
        <v>37</v>
      </c>
      <c r="K278" s="60">
        <v>2101.4</v>
      </c>
      <c r="L278" s="60">
        <v>2101.4</v>
      </c>
      <c r="M278" s="60">
        <v>2910.92</v>
      </c>
      <c r="N278" s="60">
        <f t="shared" si="8"/>
        <v>7113.72</v>
      </c>
      <c r="O278" s="62">
        <v>10000</v>
      </c>
      <c r="P278" s="60">
        <f t="shared" si="9"/>
        <v>17113.72</v>
      </c>
      <c r="Q278" s="44" t="s">
        <v>723</v>
      </c>
      <c r="R278" s="63">
        <v>44880</v>
      </c>
      <c r="S278" s="63">
        <v>45013</v>
      </c>
      <c r="T278" s="63"/>
      <c r="U278" s="44"/>
      <c r="V278" s="64"/>
      <c r="W278" s="65"/>
      <c r="X278" s="44"/>
      <c r="Y278" s="67" t="s">
        <v>49</v>
      </c>
      <c r="Z278" s="63">
        <v>45061</v>
      </c>
      <c r="AA278" s="44"/>
    </row>
    <row r="279" spans="1:52" s="67" customFormat="1">
      <c r="A279" s="44">
        <v>267</v>
      </c>
      <c r="B279" s="56" t="s">
        <v>733</v>
      </c>
      <c r="C279" s="44" t="s">
        <v>734</v>
      </c>
      <c r="D279" s="44" t="s">
        <v>735</v>
      </c>
      <c r="E279" s="68" t="s">
        <v>279</v>
      </c>
      <c r="F279" s="69">
        <v>15504008000754</v>
      </c>
      <c r="G279" s="59" t="s">
        <v>68</v>
      </c>
      <c r="H279" s="60">
        <v>44630</v>
      </c>
      <c r="I279" s="61">
        <v>1594</v>
      </c>
      <c r="J279" s="44" t="s">
        <v>37</v>
      </c>
      <c r="K279" s="60">
        <v>8479.7000000000007</v>
      </c>
      <c r="L279" s="60">
        <v>8479.7000000000007</v>
      </c>
      <c r="M279" s="60">
        <v>11746.7</v>
      </c>
      <c r="N279" s="60">
        <f t="shared" si="8"/>
        <v>28706.100000000002</v>
      </c>
      <c r="O279" s="62">
        <v>10000</v>
      </c>
      <c r="P279" s="60">
        <f t="shared" si="9"/>
        <v>38706.100000000006</v>
      </c>
      <c r="Q279" s="44" t="s">
        <v>279</v>
      </c>
      <c r="R279" s="63">
        <v>44987</v>
      </c>
      <c r="S279" s="63">
        <v>44880</v>
      </c>
      <c r="T279" s="63">
        <v>45014</v>
      </c>
      <c r="U279" s="44"/>
      <c r="V279" s="64"/>
      <c r="W279" s="65"/>
      <c r="X279" s="44"/>
      <c r="Y279" s="58" t="s">
        <v>736</v>
      </c>
      <c r="Z279" s="44"/>
      <c r="AA279" s="44"/>
    </row>
    <row r="280" spans="1:52" s="67" customFormat="1">
      <c r="A280" s="43">
        <v>268</v>
      </c>
      <c r="B280" s="56" t="s">
        <v>737</v>
      </c>
      <c r="C280" s="44" t="s">
        <v>738</v>
      </c>
      <c r="D280" s="44" t="s">
        <v>739</v>
      </c>
      <c r="E280" s="68" t="s">
        <v>398</v>
      </c>
      <c r="F280" s="69">
        <v>15504006100204</v>
      </c>
      <c r="G280" s="59" t="s">
        <v>36</v>
      </c>
      <c r="H280" s="60">
        <v>16850</v>
      </c>
      <c r="I280" s="61">
        <v>37765</v>
      </c>
      <c r="J280" s="44" t="s">
        <v>37</v>
      </c>
      <c r="K280" s="60">
        <v>3201.5</v>
      </c>
      <c r="L280" s="60">
        <v>3201.5</v>
      </c>
      <c r="M280" s="60">
        <v>4448.3999999999996</v>
      </c>
      <c r="N280" s="60">
        <f t="shared" si="8"/>
        <v>10851.4</v>
      </c>
      <c r="O280" s="62">
        <v>10000</v>
      </c>
      <c r="P280" s="60">
        <f t="shared" si="9"/>
        <v>20851.400000000001</v>
      </c>
      <c r="Q280" s="44" t="s">
        <v>398</v>
      </c>
      <c r="R280" s="63">
        <v>44890</v>
      </c>
      <c r="S280" s="63">
        <v>45015</v>
      </c>
      <c r="T280" s="63"/>
      <c r="U280" s="44"/>
      <c r="V280" s="64"/>
      <c r="W280" s="65">
        <v>45034</v>
      </c>
      <c r="X280" s="44"/>
      <c r="Y280" s="67" t="s">
        <v>54</v>
      </c>
      <c r="Z280" s="63">
        <v>45070</v>
      </c>
      <c r="AA280" s="44"/>
    </row>
    <row r="281" spans="1:52" s="67" customFormat="1">
      <c r="A281" s="44">
        <v>269</v>
      </c>
      <c r="B281" s="56" t="s">
        <v>740</v>
      </c>
      <c r="C281" s="44" t="s">
        <v>741</v>
      </c>
      <c r="D281" s="44" t="s">
        <v>742</v>
      </c>
      <c r="E281" s="68" t="s">
        <v>57</v>
      </c>
      <c r="F281" s="69">
        <v>15504003100219</v>
      </c>
      <c r="G281" s="59" t="s">
        <v>68</v>
      </c>
      <c r="H281" s="60">
        <v>52500</v>
      </c>
      <c r="I281" s="61">
        <v>2500</v>
      </c>
      <c r="J281" s="44" t="s">
        <v>273</v>
      </c>
      <c r="K281" s="60">
        <v>4725</v>
      </c>
      <c r="L281" s="60">
        <v>4725</v>
      </c>
      <c r="M281" s="60">
        <v>6258</v>
      </c>
      <c r="N281" s="60">
        <f t="shared" si="8"/>
        <v>15708</v>
      </c>
      <c r="O281" s="62">
        <v>10000</v>
      </c>
      <c r="P281" s="60">
        <f t="shared" si="9"/>
        <v>25708</v>
      </c>
      <c r="Q281" s="44" t="s">
        <v>57</v>
      </c>
      <c r="R281" s="63">
        <v>44960</v>
      </c>
      <c r="S281" s="63">
        <v>44998</v>
      </c>
      <c r="T281" s="63"/>
      <c r="U281" s="44"/>
      <c r="V281" s="64"/>
      <c r="W281" s="65">
        <v>45020</v>
      </c>
      <c r="X281" s="63">
        <v>44993</v>
      </c>
      <c r="Z281" s="44" t="s">
        <v>49</v>
      </c>
      <c r="AA281" s="44"/>
    </row>
    <row r="282" spans="1:52" s="67" customFormat="1">
      <c r="A282" s="44">
        <v>270</v>
      </c>
      <c r="B282" s="56" t="s">
        <v>740</v>
      </c>
      <c r="C282" s="44" t="s">
        <v>743</v>
      </c>
      <c r="D282" s="44" t="s">
        <v>744</v>
      </c>
      <c r="E282" s="68" t="s">
        <v>57</v>
      </c>
      <c r="F282" s="69">
        <v>15504003100215</v>
      </c>
      <c r="G282" s="59" t="s">
        <v>68</v>
      </c>
      <c r="H282" s="60">
        <v>45650</v>
      </c>
      <c r="I282" s="61">
        <v>2174</v>
      </c>
      <c r="J282" s="44" t="s">
        <v>273</v>
      </c>
      <c r="K282" s="60">
        <v>4108.5</v>
      </c>
      <c r="L282" s="60">
        <v>4108.5</v>
      </c>
      <c r="M282" s="60">
        <v>5441.48</v>
      </c>
      <c r="N282" s="60">
        <f t="shared" si="8"/>
        <v>13658.48</v>
      </c>
      <c r="O282" s="62">
        <v>10000</v>
      </c>
      <c r="P282" s="60">
        <f t="shared" si="9"/>
        <v>23658.48</v>
      </c>
      <c r="Q282" s="44" t="s">
        <v>57</v>
      </c>
      <c r="R282" s="63">
        <v>44960</v>
      </c>
      <c r="S282" s="63">
        <v>44998</v>
      </c>
      <c r="T282" s="63"/>
      <c r="U282" s="44"/>
      <c r="V282" s="64"/>
      <c r="W282" s="65">
        <v>45020</v>
      </c>
      <c r="X282" s="63">
        <v>44993</v>
      </c>
      <c r="Z282" s="44" t="s">
        <v>49</v>
      </c>
      <c r="AA282" s="44"/>
    </row>
    <row r="283" spans="1:52" s="67" customFormat="1">
      <c r="A283" s="43">
        <v>271</v>
      </c>
      <c r="B283" s="56" t="s">
        <v>740</v>
      </c>
      <c r="C283" s="44" t="s">
        <v>745</v>
      </c>
      <c r="D283" s="44" t="s">
        <v>746</v>
      </c>
      <c r="E283" s="68" t="s">
        <v>57</v>
      </c>
      <c r="F283" s="69">
        <v>15504003100225</v>
      </c>
      <c r="G283" s="59" t="s">
        <v>68</v>
      </c>
      <c r="H283" s="60">
        <v>4790</v>
      </c>
      <c r="I283" s="61">
        <v>114</v>
      </c>
      <c r="J283" s="44" t="s">
        <v>48</v>
      </c>
      <c r="K283" s="60">
        <v>479</v>
      </c>
      <c r="L283" s="60">
        <v>479</v>
      </c>
      <c r="M283" s="60">
        <v>639.98</v>
      </c>
      <c r="N283" s="60">
        <f t="shared" si="8"/>
        <v>1597.98</v>
      </c>
      <c r="O283" s="62">
        <v>10000</v>
      </c>
      <c r="P283" s="60">
        <f t="shared" si="9"/>
        <v>11597.98</v>
      </c>
      <c r="Q283" s="44" t="s">
        <v>57</v>
      </c>
      <c r="R283" s="63">
        <v>44960</v>
      </c>
      <c r="S283" s="63">
        <v>44998</v>
      </c>
      <c r="T283" s="63"/>
      <c r="U283" s="44"/>
      <c r="V283" s="64"/>
      <c r="W283" s="65">
        <v>45020</v>
      </c>
      <c r="X283" s="63">
        <v>44993</v>
      </c>
      <c r="Z283" s="44" t="s">
        <v>49</v>
      </c>
      <c r="AA283" s="44"/>
    </row>
    <row r="284" spans="1:52" s="67" customFormat="1">
      <c r="A284" s="44">
        <v>272</v>
      </c>
      <c r="B284" s="56" t="s">
        <v>740</v>
      </c>
      <c r="C284" s="44" t="s">
        <v>747</v>
      </c>
      <c r="D284" s="44" t="s">
        <v>748</v>
      </c>
      <c r="E284" s="68" t="s">
        <v>57</v>
      </c>
      <c r="F284" s="69">
        <v>15504003100249</v>
      </c>
      <c r="G284" s="59" t="s">
        <v>47</v>
      </c>
      <c r="H284" s="60">
        <v>4200</v>
      </c>
      <c r="I284" s="61">
        <v>100</v>
      </c>
      <c r="J284" s="44" t="s">
        <v>324</v>
      </c>
      <c r="K284" s="60">
        <v>336</v>
      </c>
      <c r="L284" s="60">
        <v>336</v>
      </c>
      <c r="M284" s="60">
        <v>440.16</v>
      </c>
      <c r="N284" s="60">
        <f t="shared" si="8"/>
        <v>1112.1600000000001</v>
      </c>
      <c r="O284" s="62">
        <v>10000</v>
      </c>
      <c r="P284" s="60">
        <f t="shared" si="9"/>
        <v>11112.16</v>
      </c>
      <c r="Q284" s="44" t="s">
        <v>57</v>
      </c>
      <c r="R284" s="63">
        <v>44960</v>
      </c>
      <c r="S284" s="63">
        <v>44998</v>
      </c>
      <c r="T284" s="63"/>
      <c r="U284" s="44"/>
      <c r="V284" s="64"/>
      <c r="W284" s="65">
        <v>45020</v>
      </c>
      <c r="X284" s="63">
        <v>44993</v>
      </c>
      <c r="Z284" s="44" t="s">
        <v>49</v>
      </c>
      <c r="AA284" s="44"/>
    </row>
    <row r="285" spans="1:52" s="67" customFormat="1">
      <c r="A285" s="44">
        <v>273</v>
      </c>
      <c r="B285" s="56" t="s">
        <v>740</v>
      </c>
      <c r="C285" s="44" t="s">
        <v>749</v>
      </c>
      <c r="D285" s="44" t="s">
        <v>750</v>
      </c>
      <c r="E285" s="68" t="s">
        <v>57</v>
      </c>
      <c r="F285" s="69">
        <v>15504003100245</v>
      </c>
      <c r="G285" s="59" t="s">
        <v>47</v>
      </c>
      <c r="H285" s="60">
        <v>4200</v>
      </c>
      <c r="I285" s="61">
        <v>100</v>
      </c>
      <c r="J285" s="44" t="s">
        <v>324</v>
      </c>
      <c r="K285" s="60">
        <v>336</v>
      </c>
      <c r="L285" s="60">
        <v>336</v>
      </c>
      <c r="M285" s="60">
        <v>440.16</v>
      </c>
      <c r="N285" s="60">
        <f t="shared" si="8"/>
        <v>1112.1600000000001</v>
      </c>
      <c r="O285" s="62">
        <v>10000</v>
      </c>
      <c r="P285" s="60">
        <f t="shared" si="9"/>
        <v>11112.16</v>
      </c>
      <c r="Q285" s="44" t="s">
        <v>57</v>
      </c>
      <c r="R285" s="63">
        <v>44960</v>
      </c>
      <c r="S285" s="63">
        <v>44998</v>
      </c>
      <c r="T285" s="63"/>
      <c r="U285" s="44"/>
      <c r="V285" s="64"/>
      <c r="W285" s="65">
        <v>45019</v>
      </c>
      <c r="X285" s="63">
        <v>44992</v>
      </c>
      <c r="Z285" s="44" t="s">
        <v>49</v>
      </c>
      <c r="AA285" s="44"/>
    </row>
    <row r="286" spans="1:52">
      <c r="A286" s="43">
        <v>274</v>
      </c>
      <c r="B286" s="33" t="s">
        <v>740</v>
      </c>
      <c r="C286" s="44" t="s">
        <v>751</v>
      </c>
      <c r="D286" s="43" t="s">
        <v>752</v>
      </c>
      <c r="E286" s="45" t="s">
        <v>57</v>
      </c>
      <c r="F286" s="46">
        <v>15504003100243</v>
      </c>
      <c r="G286" s="47" t="s">
        <v>47</v>
      </c>
      <c r="H286" s="48">
        <v>4200</v>
      </c>
      <c r="I286" s="49">
        <v>100</v>
      </c>
      <c r="J286" s="43" t="s">
        <v>324</v>
      </c>
      <c r="K286" s="48">
        <v>336</v>
      </c>
      <c r="L286" s="48">
        <v>336</v>
      </c>
      <c r="M286" s="48">
        <v>440.16</v>
      </c>
      <c r="N286" s="48">
        <f t="shared" si="8"/>
        <v>1112.1600000000001</v>
      </c>
      <c r="O286" s="50">
        <v>10000</v>
      </c>
      <c r="P286" s="48">
        <f t="shared" si="9"/>
        <v>11112.16</v>
      </c>
      <c r="Q286" s="43" t="s">
        <v>57</v>
      </c>
      <c r="R286" s="51">
        <v>44960</v>
      </c>
      <c r="S286" s="51">
        <v>44998</v>
      </c>
      <c r="T286" s="51"/>
      <c r="U286" s="43"/>
      <c r="V286" s="52"/>
      <c r="W286" s="53">
        <v>45020</v>
      </c>
      <c r="X286" s="51">
        <v>44992</v>
      </c>
      <c r="Z286" s="43" t="s">
        <v>49</v>
      </c>
      <c r="AA286" s="43"/>
    </row>
    <row r="287" spans="1:52" s="67" customFormat="1">
      <c r="A287" s="44">
        <v>275</v>
      </c>
      <c r="B287" s="56" t="s">
        <v>740</v>
      </c>
      <c r="C287" s="44" t="s">
        <v>753</v>
      </c>
      <c r="D287" s="44" t="s">
        <v>754</v>
      </c>
      <c r="E287" s="68" t="s">
        <v>57</v>
      </c>
      <c r="F287" s="69">
        <v>15504003100251</v>
      </c>
      <c r="G287" s="59" t="s">
        <v>47</v>
      </c>
      <c r="H287" s="60">
        <v>4200</v>
      </c>
      <c r="I287" s="61">
        <v>100</v>
      </c>
      <c r="J287" s="44" t="s">
        <v>169</v>
      </c>
      <c r="K287" s="60">
        <v>294</v>
      </c>
      <c r="L287" s="60">
        <v>294</v>
      </c>
      <c r="M287" s="60">
        <v>379.68</v>
      </c>
      <c r="N287" s="60">
        <f t="shared" si="8"/>
        <v>967.68000000000006</v>
      </c>
      <c r="O287" s="62">
        <v>10000</v>
      </c>
      <c r="P287" s="60">
        <f t="shared" si="9"/>
        <v>10967.68</v>
      </c>
      <c r="Q287" s="44" t="s">
        <v>57</v>
      </c>
      <c r="R287" s="63">
        <v>44960</v>
      </c>
      <c r="S287" s="63">
        <v>44998</v>
      </c>
      <c r="T287" s="63"/>
      <c r="U287" s="44"/>
      <c r="V287" s="64"/>
      <c r="W287" s="65">
        <v>45020</v>
      </c>
      <c r="X287" s="63">
        <v>44992</v>
      </c>
      <c r="Z287" s="44" t="s">
        <v>49</v>
      </c>
      <c r="AA287" s="44"/>
    </row>
    <row r="288" spans="1:52" s="67" customFormat="1">
      <c r="A288" s="44">
        <v>276</v>
      </c>
      <c r="B288" s="56" t="s">
        <v>740</v>
      </c>
      <c r="C288" s="44" t="s">
        <v>755</v>
      </c>
      <c r="D288" s="44" t="s">
        <v>756</v>
      </c>
      <c r="E288" s="68" t="s">
        <v>57</v>
      </c>
      <c r="F288" s="69">
        <v>15504003100270</v>
      </c>
      <c r="G288" s="59" t="s">
        <v>47</v>
      </c>
      <c r="H288" s="60">
        <v>4200</v>
      </c>
      <c r="I288" s="61">
        <v>100</v>
      </c>
      <c r="J288" s="44" t="s">
        <v>315</v>
      </c>
      <c r="K288" s="60">
        <v>168</v>
      </c>
      <c r="L288" s="60">
        <v>168</v>
      </c>
      <c r="M288" s="60">
        <v>198.24</v>
      </c>
      <c r="N288" s="60">
        <f t="shared" si="8"/>
        <v>534.24</v>
      </c>
      <c r="O288" s="62">
        <v>10000</v>
      </c>
      <c r="P288" s="60">
        <f t="shared" si="9"/>
        <v>10534.24</v>
      </c>
      <c r="Q288" s="44" t="s">
        <v>57</v>
      </c>
      <c r="R288" s="63">
        <v>44960</v>
      </c>
      <c r="S288" s="63">
        <v>44998</v>
      </c>
      <c r="T288" s="63"/>
      <c r="U288" s="44"/>
      <c r="V288" s="64"/>
      <c r="W288" s="65">
        <v>45020</v>
      </c>
      <c r="X288" s="63" t="s">
        <v>757</v>
      </c>
      <c r="Z288" s="44" t="s">
        <v>49</v>
      </c>
      <c r="AA288" s="44"/>
    </row>
    <row r="289" spans="1:27" s="67" customFormat="1">
      <c r="A289" s="43">
        <v>277</v>
      </c>
      <c r="B289" s="56" t="s">
        <v>740</v>
      </c>
      <c r="C289" s="44" t="s">
        <v>758</v>
      </c>
      <c r="D289" s="44" t="s">
        <v>759</v>
      </c>
      <c r="E289" s="68" t="s">
        <v>57</v>
      </c>
      <c r="F289" s="69">
        <v>15504003100265</v>
      </c>
      <c r="G289" s="59" t="s">
        <v>47</v>
      </c>
      <c r="H289" s="60">
        <v>4200</v>
      </c>
      <c r="I289" s="61">
        <v>100</v>
      </c>
      <c r="J289" s="44" t="s">
        <v>315</v>
      </c>
      <c r="K289" s="60">
        <v>168</v>
      </c>
      <c r="L289" s="60">
        <v>168</v>
      </c>
      <c r="M289" s="60">
        <v>198.24</v>
      </c>
      <c r="N289" s="60">
        <f t="shared" si="8"/>
        <v>534.24</v>
      </c>
      <c r="O289" s="62">
        <v>10000</v>
      </c>
      <c r="P289" s="60">
        <f t="shared" si="9"/>
        <v>10534.24</v>
      </c>
      <c r="Q289" s="44" t="s">
        <v>57</v>
      </c>
      <c r="R289" s="63">
        <v>44960</v>
      </c>
      <c r="S289" s="63">
        <v>44998</v>
      </c>
      <c r="T289" s="63"/>
      <c r="U289" s="44"/>
      <c r="V289" s="64"/>
      <c r="W289" s="65">
        <v>45020</v>
      </c>
      <c r="X289" s="63">
        <v>44992</v>
      </c>
      <c r="Z289" s="44" t="s">
        <v>49</v>
      </c>
      <c r="AA289" s="44"/>
    </row>
    <row r="290" spans="1:27" s="67" customFormat="1">
      <c r="A290" s="44">
        <v>278</v>
      </c>
      <c r="B290" s="56" t="s">
        <v>740</v>
      </c>
      <c r="C290" s="44" t="s">
        <v>760</v>
      </c>
      <c r="D290" s="44" t="s">
        <v>761</v>
      </c>
      <c r="E290" s="68" t="s">
        <v>57</v>
      </c>
      <c r="F290" s="69">
        <v>15504003100264</v>
      </c>
      <c r="G290" s="59" t="s">
        <v>47</v>
      </c>
      <c r="H290" s="60">
        <v>4660</v>
      </c>
      <c r="I290" s="61">
        <v>111</v>
      </c>
      <c r="J290" s="44" t="s">
        <v>315</v>
      </c>
      <c r="K290" s="60">
        <v>186.4</v>
      </c>
      <c r="L290" s="60">
        <v>186.4</v>
      </c>
      <c r="M290" s="60">
        <v>219.94</v>
      </c>
      <c r="N290" s="60">
        <f t="shared" si="8"/>
        <v>592.74</v>
      </c>
      <c r="O290" s="62">
        <v>10000</v>
      </c>
      <c r="P290" s="60">
        <f t="shared" si="9"/>
        <v>10592.74</v>
      </c>
      <c r="Q290" s="44" t="s">
        <v>57</v>
      </c>
      <c r="R290" s="63">
        <v>44960</v>
      </c>
      <c r="S290" s="63">
        <v>44998</v>
      </c>
      <c r="T290" s="63"/>
      <c r="U290" s="44"/>
      <c r="V290" s="64"/>
      <c r="W290" s="65">
        <v>45020</v>
      </c>
      <c r="X290" s="63">
        <v>44992</v>
      </c>
      <c r="Z290" s="44" t="s">
        <v>49</v>
      </c>
      <c r="AA290" s="44"/>
    </row>
    <row r="291" spans="1:27" s="67" customFormat="1">
      <c r="A291" s="44">
        <v>279</v>
      </c>
      <c r="B291" s="56" t="s">
        <v>740</v>
      </c>
      <c r="C291" s="44" t="s">
        <v>762</v>
      </c>
      <c r="D291" s="44" t="s">
        <v>763</v>
      </c>
      <c r="E291" s="68" t="s">
        <v>57</v>
      </c>
      <c r="F291" s="69">
        <v>15504003102263</v>
      </c>
      <c r="G291" s="59" t="s">
        <v>68</v>
      </c>
      <c r="H291" s="60">
        <v>10500</v>
      </c>
      <c r="I291" s="61">
        <v>250</v>
      </c>
      <c r="J291" s="44" t="s">
        <v>315</v>
      </c>
      <c r="K291" s="60">
        <v>420</v>
      </c>
      <c r="L291" s="60">
        <v>420</v>
      </c>
      <c r="M291" s="60">
        <v>495.6</v>
      </c>
      <c r="N291" s="60">
        <f t="shared" si="8"/>
        <v>1335.6</v>
      </c>
      <c r="O291" s="62">
        <v>10000</v>
      </c>
      <c r="P291" s="60">
        <f t="shared" si="9"/>
        <v>11335.6</v>
      </c>
      <c r="Q291" s="44" t="s">
        <v>57</v>
      </c>
      <c r="R291" s="63">
        <v>44960</v>
      </c>
      <c r="S291" s="63">
        <v>44998</v>
      </c>
      <c r="T291" s="63"/>
      <c r="U291" s="44"/>
      <c r="V291" s="64"/>
      <c r="W291" s="65">
        <v>45020</v>
      </c>
      <c r="X291" s="63">
        <v>44992</v>
      </c>
      <c r="Z291" s="44" t="s">
        <v>49</v>
      </c>
      <c r="AA291" s="44"/>
    </row>
    <row r="292" spans="1:27" s="67" customFormat="1">
      <c r="A292" s="43">
        <v>280</v>
      </c>
      <c r="B292" s="56" t="s">
        <v>764</v>
      </c>
      <c r="C292" s="44" t="s">
        <v>765</v>
      </c>
      <c r="D292" s="44">
        <v>157</v>
      </c>
      <c r="E292" s="68" t="s">
        <v>766</v>
      </c>
      <c r="F292" s="69">
        <v>15504008503026</v>
      </c>
      <c r="G292" s="59" t="s">
        <v>47</v>
      </c>
      <c r="H292" s="60">
        <v>28730</v>
      </c>
      <c r="I292" s="61">
        <v>1026</v>
      </c>
      <c r="J292" s="44" t="s">
        <v>37</v>
      </c>
      <c r="K292" s="60">
        <f>4309.5+1149.2</f>
        <v>5458.7</v>
      </c>
      <c r="L292" s="60">
        <v>5458.7</v>
      </c>
      <c r="M292" s="60">
        <f>6205.8+1356</f>
        <v>7561.8</v>
      </c>
      <c r="N292" s="60">
        <f t="shared" si="8"/>
        <v>18479.2</v>
      </c>
      <c r="O292" s="62">
        <v>10000</v>
      </c>
      <c r="P292" s="60">
        <f t="shared" si="9"/>
        <v>28479.200000000001</v>
      </c>
      <c r="Q292" s="44" t="s">
        <v>766</v>
      </c>
      <c r="R292" s="63">
        <v>44889</v>
      </c>
      <c r="S292" s="63">
        <v>45008</v>
      </c>
      <c r="T292" s="63"/>
      <c r="U292" s="44"/>
      <c r="V292" s="64"/>
      <c r="W292" s="65">
        <v>45030</v>
      </c>
      <c r="X292" s="44"/>
      <c r="Z292" s="44" t="s">
        <v>54</v>
      </c>
      <c r="AA292" s="44"/>
    </row>
    <row r="293" spans="1:27" s="67" customFormat="1">
      <c r="A293" s="44">
        <v>281</v>
      </c>
      <c r="B293" s="105" t="s">
        <v>767</v>
      </c>
      <c r="C293" s="106" t="s">
        <v>768</v>
      </c>
      <c r="D293" s="107">
        <v>33575</v>
      </c>
      <c r="E293" s="108" t="s">
        <v>46</v>
      </c>
      <c r="F293" s="109">
        <v>15504007600922</v>
      </c>
      <c r="G293" s="110" t="s">
        <v>47</v>
      </c>
      <c r="H293" s="111">
        <v>15840</v>
      </c>
      <c r="I293" s="112">
        <v>220</v>
      </c>
      <c r="J293" s="108" t="s">
        <v>37</v>
      </c>
      <c r="K293" s="111">
        <v>2534.4</v>
      </c>
      <c r="L293" s="111">
        <v>2534.4</v>
      </c>
      <c r="M293" s="111">
        <v>5068.8</v>
      </c>
      <c r="N293" s="60">
        <f t="shared" si="8"/>
        <v>10137.6</v>
      </c>
      <c r="O293" s="62">
        <v>10000</v>
      </c>
      <c r="P293" s="60">
        <f t="shared" si="9"/>
        <v>20137.599999999999</v>
      </c>
      <c r="Q293" s="108" t="s">
        <v>46</v>
      </c>
      <c r="R293" s="113">
        <v>44965</v>
      </c>
      <c r="S293" s="113">
        <v>45015</v>
      </c>
      <c r="T293" s="108"/>
      <c r="U293" s="114"/>
      <c r="V293" s="111"/>
      <c r="W293" s="115">
        <v>45043</v>
      </c>
      <c r="X293" s="108"/>
      <c r="Y293" s="116">
        <v>15504007600922</v>
      </c>
      <c r="Z293" s="109" t="s">
        <v>769</v>
      </c>
      <c r="AA293" s="108"/>
    </row>
    <row r="294" spans="1:27" s="67" customFormat="1">
      <c r="A294" s="44">
        <v>282</v>
      </c>
      <c r="B294" s="56" t="s">
        <v>770</v>
      </c>
      <c r="C294" s="44" t="s">
        <v>771</v>
      </c>
      <c r="D294" s="44" t="s">
        <v>772</v>
      </c>
      <c r="E294" s="68" t="s">
        <v>46</v>
      </c>
      <c r="F294" s="69">
        <v>15504007600962</v>
      </c>
      <c r="G294" s="59" t="s">
        <v>62</v>
      </c>
      <c r="H294" s="60">
        <v>140</v>
      </c>
      <c r="I294" s="61">
        <v>300</v>
      </c>
      <c r="J294" s="44" t="s">
        <v>169</v>
      </c>
      <c r="K294" s="60">
        <v>9.8000000000000007</v>
      </c>
      <c r="L294" s="60">
        <v>9.8000000000000007</v>
      </c>
      <c r="M294" s="60">
        <v>12.78</v>
      </c>
      <c r="N294" s="60">
        <f t="shared" si="8"/>
        <v>32.380000000000003</v>
      </c>
      <c r="O294" s="62">
        <v>10000</v>
      </c>
      <c r="P294" s="60">
        <f t="shared" si="9"/>
        <v>10032.379999999999</v>
      </c>
      <c r="Q294" s="44" t="s">
        <v>46</v>
      </c>
      <c r="R294" s="63">
        <v>37295</v>
      </c>
      <c r="S294" s="63">
        <v>45015</v>
      </c>
      <c r="T294" s="44"/>
      <c r="U294" s="44"/>
      <c r="V294" s="64"/>
      <c r="W294" s="65">
        <v>45043</v>
      </c>
      <c r="X294" s="44"/>
      <c r="Y294" s="58" t="s">
        <v>773</v>
      </c>
      <c r="Z294" s="63">
        <v>45062</v>
      </c>
      <c r="AA294" s="44"/>
    </row>
    <row r="295" spans="1:27" s="67" customFormat="1">
      <c r="A295" s="43">
        <v>283</v>
      </c>
      <c r="B295" s="56" t="s">
        <v>770</v>
      </c>
      <c r="C295" s="44" t="s">
        <v>774</v>
      </c>
      <c r="D295" s="44" t="s">
        <v>775</v>
      </c>
      <c r="E295" s="68" t="s">
        <v>46</v>
      </c>
      <c r="F295" s="69">
        <v>15504007600924</v>
      </c>
      <c r="G295" s="59" t="s">
        <v>109</v>
      </c>
      <c r="H295" s="60">
        <v>9220</v>
      </c>
      <c r="I295" s="61">
        <v>128</v>
      </c>
      <c r="J295" s="44" t="s">
        <v>169</v>
      </c>
      <c r="K295" s="60">
        <v>645.4</v>
      </c>
      <c r="L295" s="60">
        <v>645.4</v>
      </c>
      <c r="M295" s="60">
        <v>840.82</v>
      </c>
      <c r="N295" s="60">
        <f t="shared" si="8"/>
        <v>2131.62</v>
      </c>
      <c r="O295" s="62">
        <v>10000</v>
      </c>
      <c r="P295" s="60">
        <f t="shared" si="9"/>
        <v>12131.619999999999</v>
      </c>
      <c r="Q295" s="44" t="s">
        <v>46</v>
      </c>
      <c r="R295" s="63">
        <v>44965</v>
      </c>
      <c r="S295" s="63">
        <v>45015</v>
      </c>
      <c r="T295" s="44"/>
      <c r="U295" s="44"/>
      <c r="V295" s="64"/>
      <c r="W295" s="65">
        <v>45043</v>
      </c>
      <c r="X295" s="44"/>
      <c r="Y295" s="58" t="s">
        <v>773</v>
      </c>
      <c r="Z295" s="63">
        <v>45062</v>
      </c>
      <c r="AA295" s="44"/>
    </row>
    <row r="296" spans="1:27" s="67" customFormat="1">
      <c r="A296" s="44">
        <v>284</v>
      </c>
      <c r="B296" s="56" t="s">
        <v>776</v>
      </c>
      <c r="C296" s="44" t="s">
        <v>777</v>
      </c>
      <c r="D296" s="44" t="s">
        <v>778</v>
      </c>
      <c r="E296" s="57" t="s">
        <v>779</v>
      </c>
      <c r="F296" s="69">
        <v>15504005600524</v>
      </c>
      <c r="G296" s="59" t="s">
        <v>47</v>
      </c>
      <c r="H296" s="60">
        <v>11070</v>
      </c>
      <c r="I296" s="61">
        <v>123</v>
      </c>
      <c r="J296" s="44" t="s">
        <v>37</v>
      </c>
      <c r="K296" s="60">
        <v>2103.3000000000002</v>
      </c>
      <c r="L296" s="60">
        <v>2103.3000000000002</v>
      </c>
      <c r="M296" s="60">
        <v>2913.5</v>
      </c>
      <c r="N296" s="60">
        <f t="shared" si="8"/>
        <v>7120.1</v>
      </c>
      <c r="O296" s="62">
        <v>10000</v>
      </c>
      <c r="P296" s="60">
        <f t="shared" si="9"/>
        <v>17120.099999999999</v>
      </c>
      <c r="Q296" s="44" t="s">
        <v>779</v>
      </c>
      <c r="R296" s="63">
        <v>44876</v>
      </c>
      <c r="S296" s="63">
        <v>44999</v>
      </c>
      <c r="T296" s="63"/>
      <c r="U296" s="44"/>
      <c r="V296" s="64"/>
      <c r="W296" s="65">
        <v>45048</v>
      </c>
      <c r="X296" s="44"/>
      <c r="Y296" s="67" t="s">
        <v>49</v>
      </c>
      <c r="Z296" s="44"/>
      <c r="AA296" s="44"/>
    </row>
    <row r="297" spans="1:27" s="67" customFormat="1">
      <c r="A297" s="44">
        <v>285</v>
      </c>
      <c r="B297" s="56" t="s">
        <v>780</v>
      </c>
      <c r="C297" s="44" t="s">
        <v>781</v>
      </c>
      <c r="D297" s="44" t="s">
        <v>782</v>
      </c>
      <c r="E297" s="57" t="s">
        <v>779</v>
      </c>
      <c r="F297" s="69">
        <v>15504005600624</v>
      </c>
      <c r="G297" s="59" t="s">
        <v>47</v>
      </c>
      <c r="H297" s="60">
        <v>34110</v>
      </c>
      <c r="I297" s="61">
        <v>379</v>
      </c>
      <c r="J297" s="44" t="s">
        <v>37</v>
      </c>
      <c r="K297" s="60">
        <v>6480.9</v>
      </c>
      <c r="L297" s="60">
        <v>6480.9</v>
      </c>
      <c r="M297" s="60">
        <v>8977.68</v>
      </c>
      <c r="N297" s="60">
        <f t="shared" si="8"/>
        <v>21939.48</v>
      </c>
      <c r="O297" s="62">
        <v>10000</v>
      </c>
      <c r="P297" s="60">
        <f t="shared" si="9"/>
        <v>31939.48</v>
      </c>
      <c r="Q297" s="44" t="s">
        <v>779</v>
      </c>
      <c r="R297" s="63">
        <v>44987</v>
      </c>
      <c r="S297" s="44"/>
      <c r="T297" s="44"/>
      <c r="U297" s="44"/>
      <c r="V297" s="64"/>
      <c r="W297" s="65">
        <v>45048</v>
      </c>
      <c r="X297" s="44"/>
      <c r="Y297" s="67" t="s">
        <v>49</v>
      </c>
      <c r="Z297" s="44"/>
      <c r="AA297" s="44"/>
    </row>
    <row r="298" spans="1:27" s="67" customFormat="1">
      <c r="A298" s="43">
        <v>286</v>
      </c>
      <c r="B298" s="56" t="s">
        <v>783</v>
      </c>
      <c r="C298" s="44" t="s">
        <v>784</v>
      </c>
      <c r="D298" s="44" t="s">
        <v>785</v>
      </c>
      <c r="E298" s="57" t="s">
        <v>161</v>
      </c>
      <c r="F298" s="69">
        <v>15504004702251</v>
      </c>
      <c r="G298" s="59" t="s">
        <v>109</v>
      </c>
      <c r="H298" s="60">
        <v>51210</v>
      </c>
      <c r="I298" s="61">
        <v>569</v>
      </c>
      <c r="J298" s="44" t="s">
        <v>37</v>
      </c>
      <c r="K298" s="60">
        <f>7681.5+2048.4</f>
        <v>9729.9</v>
      </c>
      <c r="L298" s="60">
        <v>9729.9</v>
      </c>
      <c r="M298" s="60">
        <f>11061.3+2417.1</f>
        <v>13478.4</v>
      </c>
      <c r="N298" s="60">
        <f t="shared" si="8"/>
        <v>32938.199999999997</v>
      </c>
      <c r="O298" s="62">
        <v>10000</v>
      </c>
      <c r="P298" s="60">
        <f t="shared" si="9"/>
        <v>42938.2</v>
      </c>
      <c r="Q298" s="44" t="s">
        <v>161</v>
      </c>
      <c r="R298" s="63">
        <v>44999</v>
      </c>
      <c r="S298" s="63">
        <v>45008</v>
      </c>
      <c r="T298" s="44"/>
      <c r="U298" s="44" t="s">
        <v>786</v>
      </c>
      <c r="V298" s="64"/>
      <c r="W298" s="63">
        <v>45019</v>
      </c>
      <c r="X298" s="63"/>
      <c r="Y298" s="58"/>
      <c r="Z298" s="44" t="s">
        <v>54</v>
      </c>
      <c r="AA298" s="44"/>
    </row>
    <row r="299" spans="1:27" s="67" customFormat="1">
      <c r="A299" s="44">
        <v>287</v>
      </c>
      <c r="B299" s="56" t="s">
        <v>783</v>
      </c>
      <c r="C299" s="44" t="s">
        <v>784</v>
      </c>
      <c r="D299" s="44"/>
      <c r="E299" s="57" t="s">
        <v>161</v>
      </c>
      <c r="F299" s="69">
        <v>15504004702251</v>
      </c>
      <c r="G299" s="59" t="s">
        <v>109</v>
      </c>
      <c r="H299" s="60">
        <v>51210</v>
      </c>
      <c r="I299" s="61">
        <v>569</v>
      </c>
      <c r="J299" s="44" t="s">
        <v>37</v>
      </c>
      <c r="K299" s="60">
        <v>9729.9</v>
      </c>
      <c r="L299" s="60">
        <v>9729.9</v>
      </c>
      <c r="M299" s="60">
        <v>13478.4</v>
      </c>
      <c r="N299" s="60">
        <f t="shared" si="8"/>
        <v>32938.199999999997</v>
      </c>
      <c r="O299" s="62">
        <v>10000</v>
      </c>
      <c r="P299" s="60">
        <f t="shared" si="9"/>
        <v>42938.2</v>
      </c>
      <c r="Q299" s="44" t="s">
        <v>161</v>
      </c>
      <c r="R299" s="63">
        <v>44999</v>
      </c>
      <c r="S299" s="63">
        <v>45008</v>
      </c>
      <c r="T299" s="44"/>
      <c r="U299" s="44" t="s">
        <v>786</v>
      </c>
      <c r="V299" s="64"/>
      <c r="W299" s="65"/>
      <c r="X299" s="63">
        <v>45019</v>
      </c>
      <c r="Y299" s="58" t="s">
        <v>75</v>
      </c>
      <c r="Z299" s="44"/>
      <c r="AA299" s="44"/>
    </row>
    <row r="300" spans="1:27" s="67" customFormat="1">
      <c r="A300" s="44">
        <v>288</v>
      </c>
      <c r="B300" s="56" t="s">
        <v>787</v>
      </c>
      <c r="C300" s="44" t="s">
        <v>788</v>
      </c>
      <c r="D300" s="44">
        <v>33648</v>
      </c>
      <c r="E300" s="68" t="s">
        <v>789</v>
      </c>
      <c r="F300" s="69">
        <v>15504003402109</v>
      </c>
      <c r="G300" s="59" t="s">
        <v>790</v>
      </c>
      <c r="H300" s="60">
        <v>13980</v>
      </c>
      <c r="I300" s="61">
        <v>233</v>
      </c>
      <c r="J300" s="44" t="s">
        <v>37</v>
      </c>
      <c r="K300" s="60">
        <v>2656.2</v>
      </c>
      <c r="L300" s="60">
        <v>2656.2</v>
      </c>
      <c r="M300" s="60">
        <v>3679.66</v>
      </c>
      <c r="N300" s="60">
        <f t="shared" si="8"/>
        <v>8992.06</v>
      </c>
      <c r="O300" s="62">
        <v>10000</v>
      </c>
      <c r="P300" s="60">
        <f t="shared" si="9"/>
        <v>18992.059999999998</v>
      </c>
      <c r="Q300" s="44" t="s">
        <v>789</v>
      </c>
      <c r="R300" s="63">
        <v>44874</v>
      </c>
      <c r="S300" s="63" t="s">
        <v>791</v>
      </c>
      <c r="T300" s="63"/>
      <c r="U300" s="44"/>
      <c r="V300" s="64"/>
      <c r="W300" s="65"/>
      <c r="X300" s="44"/>
      <c r="Z300" s="44"/>
      <c r="AA300" s="44"/>
    </row>
    <row r="301" spans="1:27" s="67" customFormat="1">
      <c r="A301" s="43">
        <v>289</v>
      </c>
      <c r="B301" s="56" t="s">
        <v>792</v>
      </c>
      <c r="C301" s="44" t="s">
        <v>793</v>
      </c>
      <c r="D301" s="44" t="s">
        <v>794</v>
      </c>
      <c r="E301" s="68" t="s">
        <v>79</v>
      </c>
      <c r="F301" s="69">
        <v>15504004901811</v>
      </c>
      <c r="G301" s="59" t="s">
        <v>36</v>
      </c>
      <c r="H301" s="60">
        <v>3350</v>
      </c>
      <c r="I301" s="61">
        <v>4787</v>
      </c>
      <c r="J301" s="44" t="s">
        <v>273</v>
      </c>
      <c r="K301" s="60">
        <v>301.5</v>
      </c>
      <c r="L301" s="60">
        <v>301.5</v>
      </c>
      <c r="M301" s="60">
        <v>399.32</v>
      </c>
      <c r="N301" s="60">
        <f t="shared" si="8"/>
        <v>1002.3199999999999</v>
      </c>
      <c r="O301" s="62">
        <v>10000</v>
      </c>
      <c r="P301" s="60">
        <f t="shared" si="9"/>
        <v>11002.32</v>
      </c>
      <c r="Q301" s="44" t="s">
        <v>79</v>
      </c>
      <c r="R301" s="63">
        <v>44985</v>
      </c>
      <c r="S301" s="63">
        <v>45008</v>
      </c>
      <c r="T301" s="44"/>
      <c r="U301" s="44"/>
      <c r="V301" s="64"/>
      <c r="W301" s="65">
        <v>45029</v>
      </c>
      <c r="X301" s="44"/>
      <c r="Z301" s="44" t="s">
        <v>54</v>
      </c>
      <c r="AA301" s="44"/>
    </row>
    <row r="302" spans="1:27" s="67" customFormat="1">
      <c r="A302" s="44">
        <v>290</v>
      </c>
      <c r="B302" s="56" t="s">
        <v>792</v>
      </c>
      <c r="C302" s="44" t="s">
        <v>795</v>
      </c>
      <c r="D302" s="44" t="s">
        <v>796</v>
      </c>
      <c r="E302" s="68" t="s">
        <v>79</v>
      </c>
      <c r="F302" s="69">
        <v>15504004901702</v>
      </c>
      <c r="G302" s="59" t="s">
        <v>36</v>
      </c>
      <c r="H302" s="60">
        <v>400</v>
      </c>
      <c r="I302" s="61">
        <v>571</v>
      </c>
      <c r="J302" s="44" t="s">
        <v>128</v>
      </c>
      <c r="K302" s="60">
        <v>48</v>
      </c>
      <c r="L302" s="60">
        <v>48</v>
      </c>
      <c r="M302" s="60">
        <v>64.959999999999994</v>
      </c>
      <c r="N302" s="60">
        <f t="shared" si="8"/>
        <v>160.95999999999998</v>
      </c>
      <c r="O302" s="62">
        <v>10000</v>
      </c>
      <c r="P302" s="60">
        <f t="shared" si="9"/>
        <v>10160.959999999999</v>
      </c>
      <c r="Q302" s="44" t="s">
        <v>79</v>
      </c>
      <c r="R302" s="63">
        <v>44985</v>
      </c>
      <c r="S302" s="63">
        <v>45006</v>
      </c>
      <c r="T302" s="44"/>
      <c r="U302" s="44"/>
      <c r="V302" s="64"/>
      <c r="W302" s="65">
        <v>45029</v>
      </c>
      <c r="X302" s="44"/>
      <c r="Z302" s="44" t="s">
        <v>54</v>
      </c>
      <c r="AA302" s="44"/>
    </row>
    <row r="303" spans="1:27" s="67" customFormat="1">
      <c r="A303" s="44">
        <v>291</v>
      </c>
      <c r="B303" s="56" t="s">
        <v>792</v>
      </c>
      <c r="C303" s="44" t="s">
        <v>797</v>
      </c>
      <c r="D303" s="44" t="s">
        <v>798</v>
      </c>
      <c r="E303" s="68" t="s">
        <v>79</v>
      </c>
      <c r="F303" s="69">
        <v>15504004901704</v>
      </c>
      <c r="G303" s="59" t="s">
        <v>799</v>
      </c>
      <c r="H303" s="60">
        <v>110</v>
      </c>
      <c r="I303" s="61">
        <v>166</v>
      </c>
      <c r="J303" s="44" t="s">
        <v>37</v>
      </c>
      <c r="K303" s="60">
        <f>16.5+4.4</f>
        <v>20.9</v>
      </c>
      <c r="L303" s="60">
        <f>16.5+4.4</f>
        <v>20.9</v>
      </c>
      <c r="M303" s="60">
        <f>23.7+5.18</f>
        <v>28.88</v>
      </c>
      <c r="N303" s="60">
        <f t="shared" si="8"/>
        <v>70.679999999999993</v>
      </c>
      <c r="O303" s="62">
        <v>10000</v>
      </c>
      <c r="P303" s="60">
        <f t="shared" si="9"/>
        <v>10070.68</v>
      </c>
      <c r="Q303" s="44" t="s">
        <v>79</v>
      </c>
      <c r="R303" s="63">
        <v>44985</v>
      </c>
      <c r="S303" s="63">
        <v>45006</v>
      </c>
      <c r="T303" s="44"/>
      <c r="U303" s="44"/>
      <c r="V303" s="64"/>
      <c r="W303" s="65">
        <v>45029</v>
      </c>
      <c r="X303" s="44"/>
      <c r="Z303" s="44" t="s">
        <v>54</v>
      </c>
      <c r="AA303" s="44"/>
    </row>
    <row r="304" spans="1:27" s="67" customFormat="1">
      <c r="A304" s="43">
        <v>292</v>
      </c>
      <c r="B304" s="56" t="s">
        <v>792</v>
      </c>
      <c r="C304" s="44" t="s">
        <v>800</v>
      </c>
      <c r="D304" s="44" t="s">
        <v>801</v>
      </c>
      <c r="E304" s="68" t="s">
        <v>79</v>
      </c>
      <c r="F304" s="69">
        <v>15504004901706</v>
      </c>
      <c r="G304" s="59" t="s">
        <v>799</v>
      </c>
      <c r="H304" s="60">
        <v>2360</v>
      </c>
      <c r="I304" s="61">
        <v>3585</v>
      </c>
      <c r="J304" s="44" t="s">
        <v>37</v>
      </c>
      <c r="K304" s="60">
        <f>354+94.4</f>
        <v>448.4</v>
      </c>
      <c r="L304" s="60">
        <v>448.4</v>
      </c>
      <c r="M304" s="60">
        <f>509.7+111.38</f>
        <v>621.07999999999993</v>
      </c>
      <c r="N304" s="60">
        <f t="shared" si="8"/>
        <v>1517.8799999999999</v>
      </c>
      <c r="O304" s="62">
        <v>10000</v>
      </c>
      <c r="P304" s="60">
        <f t="shared" si="9"/>
        <v>11517.88</v>
      </c>
      <c r="Q304" s="44" t="s">
        <v>79</v>
      </c>
      <c r="R304" s="63">
        <v>44985</v>
      </c>
      <c r="S304" s="63">
        <v>45006</v>
      </c>
      <c r="T304" s="44"/>
      <c r="U304" s="44"/>
      <c r="V304" s="64"/>
      <c r="W304" s="65">
        <v>45029</v>
      </c>
      <c r="X304" s="44"/>
      <c r="Z304" s="44" t="s">
        <v>54</v>
      </c>
      <c r="AA304" s="44"/>
    </row>
    <row r="305" spans="1:27" s="67" customFormat="1">
      <c r="A305" s="44">
        <v>293</v>
      </c>
      <c r="B305" s="56" t="s">
        <v>792</v>
      </c>
      <c r="C305" s="44" t="s">
        <v>802</v>
      </c>
      <c r="D305" s="44" t="s">
        <v>803</v>
      </c>
      <c r="E305" s="68" t="s">
        <v>79</v>
      </c>
      <c r="F305" s="69">
        <v>15504004901810</v>
      </c>
      <c r="G305" s="59" t="s">
        <v>799</v>
      </c>
      <c r="H305" s="60">
        <v>2360</v>
      </c>
      <c r="I305" s="61">
        <v>3585</v>
      </c>
      <c r="J305" s="44" t="s">
        <v>37</v>
      </c>
      <c r="K305" s="60">
        <f>354+94.4</f>
        <v>448.4</v>
      </c>
      <c r="L305" s="60">
        <v>448.4</v>
      </c>
      <c r="M305" s="60">
        <v>621.08000000000004</v>
      </c>
      <c r="N305" s="60">
        <f t="shared" si="8"/>
        <v>1517.88</v>
      </c>
      <c r="O305" s="62">
        <v>10000</v>
      </c>
      <c r="P305" s="60">
        <f t="shared" si="9"/>
        <v>11517.880000000001</v>
      </c>
      <c r="Q305" s="44" t="s">
        <v>79</v>
      </c>
      <c r="R305" s="63">
        <v>44985</v>
      </c>
      <c r="S305" s="63">
        <v>45006</v>
      </c>
      <c r="T305" s="44"/>
      <c r="U305" s="44"/>
      <c r="V305" s="64"/>
      <c r="W305" s="65">
        <v>45029</v>
      </c>
      <c r="X305" s="44"/>
      <c r="Z305" s="44" t="s">
        <v>54</v>
      </c>
      <c r="AA305" s="44"/>
    </row>
    <row r="306" spans="1:27" s="67" customFormat="1">
      <c r="A306" s="44">
        <v>294</v>
      </c>
      <c r="B306" s="56" t="s">
        <v>804</v>
      </c>
      <c r="C306" s="44" t="s">
        <v>805</v>
      </c>
      <c r="D306" s="44" t="s">
        <v>806</v>
      </c>
      <c r="E306" s="68" t="s">
        <v>766</v>
      </c>
      <c r="F306" s="69">
        <v>15504008502509</v>
      </c>
      <c r="G306" s="59" t="s">
        <v>68</v>
      </c>
      <c r="H306" s="60">
        <v>36400</v>
      </c>
      <c r="I306" s="61">
        <v>1300</v>
      </c>
      <c r="J306" s="44" t="s">
        <v>37</v>
      </c>
      <c r="K306" s="60">
        <f>5460+1456</f>
        <v>6916</v>
      </c>
      <c r="L306" s="60">
        <v>6916</v>
      </c>
      <c r="M306" s="60">
        <f>7862.4+1718.08</f>
        <v>9580.48</v>
      </c>
      <c r="N306" s="60">
        <f t="shared" si="8"/>
        <v>23412.48</v>
      </c>
      <c r="O306" s="62">
        <v>10000</v>
      </c>
      <c r="P306" s="60">
        <f t="shared" si="9"/>
        <v>33412.479999999996</v>
      </c>
      <c r="Q306" s="44" t="s">
        <v>766</v>
      </c>
      <c r="R306" s="63">
        <v>44889</v>
      </c>
      <c r="S306" s="63">
        <v>45008</v>
      </c>
      <c r="T306" s="63"/>
      <c r="U306" s="44"/>
      <c r="V306" s="64"/>
      <c r="W306" s="65">
        <v>45030</v>
      </c>
      <c r="X306" s="44"/>
      <c r="Z306" s="44" t="s">
        <v>54</v>
      </c>
      <c r="AA306" s="63">
        <v>45069</v>
      </c>
    </row>
    <row r="307" spans="1:27" s="67" customFormat="1">
      <c r="A307" s="43">
        <v>295</v>
      </c>
      <c r="B307" s="56" t="s">
        <v>804</v>
      </c>
      <c r="C307" s="44" t="s">
        <v>807</v>
      </c>
      <c r="D307" s="44" t="s">
        <v>808</v>
      </c>
      <c r="E307" s="68" t="s">
        <v>766</v>
      </c>
      <c r="F307" s="69">
        <v>15504008502536</v>
      </c>
      <c r="G307" s="59" t="s">
        <v>68</v>
      </c>
      <c r="H307" s="60">
        <v>21280</v>
      </c>
      <c r="I307" s="61">
        <v>760</v>
      </c>
      <c r="J307" s="44" t="s">
        <v>37</v>
      </c>
      <c r="K307" s="60">
        <f>3192+851.2</f>
        <v>4043.2</v>
      </c>
      <c r="L307" s="60">
        <v>4043.2</v>
      </c>
      <c r="M307" s="60">
        <f>4596.6+1004.42</f>
        <v>5601.02</v>
      </c>
      <c r="N307" s="60">
        <f t="shared" si="8"/>
        <v>13687.42</v>
      </c>
      <c r="O307" s="62">
        <v>10000</v>
      </c>
      <c r="P307" s="60">
        <f t="shared" si="9"/>
        <v>23687.42</v>
      </c>
      <c r="Q307" s="44" t="s">
        <v>766</v>
      </c>
      <c r="R307" s="63">
        <v>44889</v>
      </c>
      <c r="S307" s="63">
        <v>45008</v>
      </c>
      <c r="T307" s="63"/>
      <c r="U307" s="44"/>
      <c r="V307" s="64"/>
      <c r="W307" s="65">
        <v>37360</v>
      </c>
      <c r="X307" s="44"/>
      <c r="Z307" s="44" t="s">
        <v>54</v>
      </c>
      <c r="AA307" s="63">
        <v>45069</v>
      </c>
    </row>
    <row r="308" spans="1:27" s="67" customFormat="1">
      <c r="A308" s="44">
        <v>296</v>
      </c>
      <c r="B308" s="56" t="s">
        <v>809</v>
      </c>
      <c r="C308" s="44" t="s">
        <v>810</v>
      </c>
      <c r="D308" s="44" t="s">
        <v>811</v>
      </c>
      <c r="E308" s="68" t="s">
        <v>79</v>
      </c>
      <c r="F308" s="69">
        <v>15504004901208</v>
      </c>
      <c r="G308" s="59" t="s">
        <v>790</v>
      </c>
      <c r="H308" s="60">
        <v>54990</v>
      </c>
      <c r="I308" s="61">
        <v>1964</v>
      </c>
      <c r="J308" s="44" t="s">
        <v>37</v>
      </c>
      <c r="K308" s="60">
        <v>10448.1</v>
      </c>
      <c r="L308" s="60">
        <v>10448.1</v>
      </c>
      <c r="M308" s="60">
        <v>14473.44</v>
      </c>
      <c r="N308" s="60">
        <f t="shared" si="8"/>
        <v>35369.64</v>
      </c>
      <c r="O308" s="62">
        <v>10000</v>
      </c>
      <c r="P308" s="60">
        <f t="shared" si="9"/>
        <v>45369.64</v>
      </c>
      <c r="Q308" s="44" t="s">
        <v>79</v>
      </c>
      <c r="R308" s="63">
        <v>44985</v>
      </c>
      <c r="S308" s="63">
        <v>45006</v>
      </c>
      <c r="T308" s="44"/>
      <c r="U308" s="44"/>
      <c r="V308" s="64"/>
      <c r="W308" s="65">
        <v>45041</v>
      </c>
      <c r="X308" s="44"/>
      <c r="Y308" s="67" t="s">
        <v>54</v>
      </c>
      <c r="Z308" s="44"/>
      <c r="AA308" s="44"/>
    </row>
    <row r="309" spans="1:27" s="67" customFormat="1">
      <c r="A309" s="44">
        <v>297</v>
      </c>
      <c r="B309" s="56" t="s">
        <v>812</v>
      </c>
      <c r="C309" s="44" t="s">
        <v>813</v>
      </c>
      <c r="D309" s="44">
        <v>12106</v>
      </c>
      <c r="E309" s="68" t="s">
        <v>766</v>
      </c>
      <c r="F309" s="69">
        <v>15504008502604</v>
      </c>
      <c r="G309" s="59" t="s">
        <v>36</v>
      </c>
      <c r="H309" s="60">
        <v>31920</v>
      </c>
      <c r="I309" s="61">
        <v>38811</v>
      </c>
      <c r="J309" s="44" t="s">
        <v>37</v>
      </c>
      <c r="K309" s="60">
        <f>4788+1276.8</f>
        <v>6064.8</v>
      </c>
      <c r="L309" s="60">
        <v>6064.8</v>
      </c>
      <c r="M309" s="60">
        <f>6894.6+1506.62</f>
        <v>8401.2200000000012</v>
      </c>
      <c r="N309" s="60">
        <f t="shared" si="8"/>
        <v>20530.82</v>
      </c>
      <c r="O309" s="62">
        <v>10000</v>
      </c>
      <c r="P309" s="60">
        <f t="shared" si="9"/>
        <v>30530.82</v>
      </c>
      <c r="Q309" s="44" t="s">
        <v>766</v>
      </c>
      <c r="R309" s="63">
        <v>44889</v>
      </c>
      <c r="S309" s="63"/>
      <c r="T309" s="63"/>
      <c r="U309" s="44"/>
      <c r="V309" s="64"/>
      <c r="W309" s="65">
        <v>45030</v>
      </c>
      <c r="X309" s="44"/>
      <c r="Z309" s="44" t="s">
        <v>54</v>
      </c>
      <c r="AA309" s="63">
        <v>45069</v>
      </c>
    </row>
    <row r="310" spans="1:27" s="67" customFormat="1">
      <c r="A310" s="43">
        <v>298</v>
      </c>
      <c r="B310" s="56" t="s">
        <v>814</v>
      </c>
      <c r="C310" s="44" t="s">
        <v>815</v>
      </c>
      <c r="D310" s="44" t="s">
        <v>816</v>
      </c>
      <c r="E310" s="68" t="s">
        <v>215</v>
      </c>
      <c r="F310" s="69">
        <v>15504010100624</v>
      </c>
      <c r="G310" s="92" t="s">
        <v>817</v>
      </c>
      <c r="H310" s="60">
        <v>72000</v>
      </c>
      <c r="I310" s="61">
        <v>1000</v>
      </c>
      <c r="J310" s="44" t="s">
        <v>115</v>
      </c>
      <c r="K310" s="60">
        <f>10800+720</f>
        <v>11520</v>
      </c>
      <c r="L310" s="60">
        <v>11520</v>
      </c>
      <c r="M310" s="60">
        <f>15379.2+518</f>
        <v>15897.2</v>
      </c>
      <c r="N310" s="60">
        <f t="shared" si="8"/>
        <v>38937.199999999997</v>
      </c>
      <c r="O310" s="62">
        <v>10000</v>
      </c>
      <c r="P310" s="60">
        <f t="shared" si="9"/>
        <v>48937.2</v>
      </c>
      <c r="Q310" s="44" t="s">
        <v>215</v>
      </c>
      <c r="R310" s="63">
        <v>44977</v>
      </c>
      <c r="S310" s="63">
        <v>45008</v>
      </c>
      <c r="T310" s="44"/>
      <c r="U310" s="44"/>
      <c r="V310" s="64"/>
      <c r="W310" s="65">
        <v>45028</v>
      </c>
      <c r="X310" s="44"/>
      <c r="Z310" s="44" t="s">
        <v>54</v>
      </c>
      <c r="AA310" s="44"/>
    </row>
    <row r="311" spans="1:27" s="67" customFormat="1">
      <c r="A311" s="44">
        <v>299</v>
      </c>
      <c r="B311" s="56" t="s">
        <v>818</v>
      </c>
      <c r="C311" s="44" t="s">
        <v>819</v>
      </c>
      <c r="D311" s="44" t="s">
        <v>52</v>
      </c>
      <c r="E311" s="68" t="s">
        <v>53</v>
      </c>
      <c r="F311" s="69">
        <v>15504001200102</v>
      </c>
      <c r="G311" s="92" t="s">
        <v>36</v>
      </c>
      <c r="H311" s="60">
        <v>18200</v>
      </c>
      <c r="I311" s="61">
        <v>51364</v>
      </c>
      <c r="J311" s="44" t="s">
        <v>37</v>
      </c>
      <c r="K311" s="60">
        <v>3458</v>
      </c>
      <c r="L311" s="60">
        <v>3458</v>
      </c>
      <c r="M311" s="60">
        <v>4790.24</v>
      </c>
      <c r="N311" s="60">
        <f t="shared" si="8"/>
        <v>11706.24</v>
      </c>
      <c r="O311" s="62">
        <v>10000</v>
      </c>
      <c r="P311" s="60">
        <f t="shared" si="9"/>
        <v>21706.239999999998</v>
      </c>
      <c r="Q311" s="44" t="s">
        <v>53</v>
      </c>
      <c r="R311" s="63">
        <v>44874</v>
      </c>
      <c r="S311" s="63"/>
      <c r="T311" s="63"/>
      <c r="U311" s="44"/>
      <c r="V311" s="64"/>
      <c r="W311" s="65"/>
      <c r="X311" s="44"/>
      <c r="Z311" s="44"/>
      <c r="AA311" s="44"/>
    </row>
    <row r="312" spans="1:27" s="67" customFormat="1" ht="22.5">
      <c r="A312" s="44">
        <v>300</v>
      </c>
      <c r="B312" s="56" t="s">
        <v>820</v>
      </c>
      <c r="C312" s="44" t="s">
        <v>821</v>
      </c>
      <c r="D312" s="44">
        <v>13922</v>
      </c>
      <c r="E312" s="68" t="s">
        <v>682</v>
      </c>
      <c r="F312" s="69">
        <v>15504003100878</v>
      </c>
      <c r="G312" s="101" t="s">
        <v>822</v>
      </c>
      <c r="H312" s="60">
        <v>637830</v>
      </c>
      <c r="I312" s="61">
        <v>7087</v>
      </c>
      <c r="J312" s="44" t="s">
        <v>37</v>
      </c>
      <c r="K312" s="60">
        <v>121187.7</v>
      </c>
      <c r="L312" s="60">
        <v>121187.7</v>
      </c>
      <c r="M312" s="60">
        <v>167876.98</v>
      </c>
      <c r="N312" s="60">
        <f t="shared" si="8"/>
        <v>410252.38</v>
      </c>
      <c r="O312" s="62">
        <v>10000</v>
      </c>
      <c r="P312" s="60">
        <f t="shared" si="9"/>
        <v>420252.38</v>
      </c>
      <c r="Q312" s="44" t="s">
        <v>682</v>
      </c>
      <c r="R312" s="63">
        <v>44874</v>
      </c>
      <c r="S312" s="63">
        <v>45008</v>
      </c>
      <c r="T312" s="44"/>
      <c r="U312" s="63"/>
      <c r="V312" s="64"/>
      <c r="W312" s="65">
        <v>45048</v>
      </c>
      <c r="X312" s="44"/>
      <c r="Y312" s="67" t="s">
        <v>49</v>
      </c>
      <c r="Z312" s="63">
        <v>45064</v>
      </c>
      <c r="AA312" s="69" t="s">
        <v>823</v>
      </c>
    </row>
    <row r="313" spans="1:27">
      <c r="A313" s="43">
        <v>301</v>
      </c>
      <c r="B313" s="33" t="s">
        <v>824</v>
      </c>
      <c r="C313" s="44" t="s">
        <v>825</v>
      </c>
      <c r="D313" s="43" t="s">
        <v>826</v>
      </c>
      <c r="E313" s="45" t="s">
        <v>97</v>
      </c>
      <c r="F313" s="46">
        <v>15504009500409</v>
      </c>
      <c r="G313" s="47" t="s">
        <v>109</v>
      </c>
      <c r="H313" s="48">
        <v>39330</v>
      </c>
      <c r="I313" s="49">
        <v>437</v>
      </c>
      <c r="J313" s="43" t="s">
        <v>37</v>
      </c>
      <c r="K313" s="71">
        <v>7472.7</v>
      </c>
      <c r="L313" s="71">
        <v>7472.7</v>
      </c>
      <c r="M313" s="71">
        <v>10383.26</v>
      </c>
      <c r="N313" s="48">
        <f t="shared" si="8"/>
        <v>25328.66</v>
      </c>
      <c r="O313" s="50">
        <v>10000</v>
      </c>
      <c r="P313" s="48">
        <f t="shared" si="9"/>
        <v>35328.660000000003</v>
      </c>
      <c r="Q313" s="43" t="s">
        <v>97</v>
      </c>
      <c r="R313" s="51">
        <v>45006</v>
      </c>
      <c r="S313" s="43"/>
      <c r="T313" s="43"/>
      <c r="U313" s="43"/>
      <c r="V313" s="72"/>
      <c r="W313" s="51"/>
      <c r="X313" s="43"/>
      <c r="Y313" s="55" t="s">
        <v>54</v>
      </c>
      <c r="Z313" s="51">
        <v>45065</v>
      </c>
      <c r="AA313" s="43"/>
    </row>
    <row r="314" spans="1:27">
      <c r="A314" s="44">
        <v>302</v>
      </c>
      <c r="B314" s="33" t="s">
        <v>827</v>
      </c>
      <c r="C314" s="44" t="s">
        <v>828</v>
      </c>
      <c r="D314" s="43" t="s">
        <v>829</v>
      </c>
      <c r="E314" s="45" t="s">
        <v>830</v>
      </c>
      <c r="F314" s="46">
        <v>15504008901208</v>
      </c>
      <c r="G314" s="47" t="s">
        <v>36</v>
      </c>
      <c r="H314" s="48">
        <v>25680</v>
      </c>
      <c r="I314" s="49">
        <v>57080</v>
      </c>
      <c r="J314" s="43" t="s">
        <v>37</v>
      </c>
      <c r="K314" s="48">
        <v>4879.2</v>
      </c>
      <c r="L314" s="48">
        <v>4879.2</v>
      </c>
      <c r="M314" s="48">
        <v>6759.1</v>
      </c>
      <c r="N314" s="48">
        <f t="shared" si="8"/>
        <v>16517.5</v>
      </c>
      <c r="O314" s="50">
        <v>10000</v>
      </c>
      <c r="P314" s="48">
        <f t="shared" si="9"/>
        <v>26517.5</v>
      </c>
      <c r="Q314" s="43" t="s">
        <v>830</v>
      </c>
      <c r="R314" s="51">
        <v>44889</v>
      </c>
      <c r="S314" s="51">
        <v>45015</v>
      </c>
      <c r="T314" s="51"/>
      <c r="U314" s="43"/>
      <c r="V314" s="52"/>
      <c r="W314" s="53">
        <v>45041</v>
      </c>
      <c r="X314" s="43"/>
      <c r="Y314" s="55" t="s">
        <v>54</v>
      </c>
      <c r="Z314" s="51">
        <v>45065</v>
      </c>
      <c r="AA314" s="43"/>
    </row>
    <row r="315" spans="1:27" s="67" customFormat="1">
      <c r="A315" s="44">
        <v>303</v>
      </c>
      <c r="B315" s="56" t="s">
        <v>831</v>
      </c>
      <c r="C315" s="44" t="s">
        <v>832</v>
      </c>
      <c r="D315" s="44" t="s">
        <v>833</v>
      </c>
      <c r="E315" s="68" t="s">
        <v>87</v>
      </c>
      <c r="F315" s="69">
        <v>15504006902012</v>
      </c>
      <c r="G315" s="59" t="s">
        <v>36</v>
      </c>
      <c r="H315" s="60">
        <v>69710</v>
      </c>
      <c r="I315" s="61">
        <v>2108</v>
      </c>
      <c r="J315" s="44" t="s">
        <v>692</v>
      </c>
      <c r="K315" s="60">
        <v>9062.2999999999993</v>
      </c>
      <c r="L315" s="60">
        <v>9062.2999999999993</v>
      </c>
      <c r="M315" s="60">
        <v>12324.68</v>
      </c>
      <c r="N315" s="60">
        <f t="shared" si="8"/>
        <v>30449.279999999999</v>
      </c>
      <c r="O315" s="62">
        <v>10000</v>
      </c>
      <c r="P315" s="60">
        <f t="shared" si="9"/>
        <v>40449.279999999999</v>
      </c>
      <c r="Q315" s="44" t="s">
        <v>87</v>
      </c>
      <c r="R315" s="63">
        <v>44897</v>
      </c>
      <c r="S315" s="63">
        <v>45014</v>
      </c>
      <c r="T315" s="63"/>
      <c r="U315" s="44"/>
      <c r="V315" s="64"/>
      <c r="W315" s="65"/>
      <c r="X315" s="44"/>
      <c r="Z315" s="44"/>
      <c r="AA315" s="44"/>
    </row>
    <row r="316" spans="1:27" s="67" customFormat="1" ht="22.5">
      <c r="A316" s="43">
        <v>304</v>
      </c>
      <c r="B316" s="56" t="s">
        <v>834</v>
      </c>
      <c r="C316" s="44" t="s">
        <v>835</v>
      </c>
      <c r="D316" s="44" t="s">
        <v>836</v>
      </c>
      <c r="E316" s="68" t="s">
        <v>161</v>
      </c>
      <c r="F316" s="69">
        <v>15504004702412</v>
      </c>
      <c r="G316" s="101" t="s">
        <v>837</v>
      </c>
      <c r="H316" s="60">
        <v>373010</v>
      </c>
      <c r="I316" s="61">
        <v>1842</v>
      </c>
      <c r="J316" s="44" t="s">
        <v>37</v>
      </c>
      <c r="K316" s="60">
        <f>83927.25+22380.6</f>
        <v>106307.85</v>
      </c>
      <c r="L316" s="60">
        <f>55951.5+14920.4</f>
        <v>70871.899999999994</v>
      </c>
      <c r="M316" s="60">
        <f>100712.7+22007.59</f>
        <v>122720.29</v>
      </c>
      <c r="N316" s="60">
        <f t="shared" si="8"/>
        <v>299900.03999999998</v>
      </c>
      <c r="O316" s="62">
        <v>10000</v>
      </c>
      <c r="P316" s="60">
        <f t="shared" si="9"/>
        <v>309900.03999999998</v>
      </c>
      <c r="Q316" s="44" t="s">
        <v>161</v>
      </c>
      <c r="R316" s="63">
        <v>44875</v>
      </c>
      <c r="S316" s="63">
        <v>45008</v>
      </c>
      <c r="T316" s="63"/>
      <c r="U316" s="44"/>
      <c r="V316" s="64"/>
      <c r="W316" s="65">
        <v>45019</v>
      </c>
      <c r="X316" s="44"/>
      <c r="Z316" s="44" t="s">
        <v>54</v>
      </c>
      <c r="AA316" s="44"/>
    </row>
    <row r="317" spans="1:27" s="67" customFormat="1" ht="22.5">
      <c r="A317" s="44">
        <v>305</v>
      </c>
      <c r="B317" s="56" t="s">
        <v>834</v>
      </c>
      <c r="C317" s="44" t="s">
        <v>838</v>
      </c>
      <c r="D317" s="44" t="s">
        <v>839</v>
      </c>
      <c r="E317" s="68" t="s">
        <v>161</v>
      </c>
      <c r="F317" s="69">
        <v>15504004702410</v>
      </c>
      <c r="G317" s="101" t="s">
        <v>840</v>
      </c>
      <c r="H317" s="60">
        <v>86000</v>
      </c>
      <c r="I317" s="61">
        <v>1071</v>
      </c>
      <c r="J317" s="44" t="s">
        <v>37</v>
      </c>
      <c r="K317" s="78">
        <v>16340</v>
      </c>
      <c r="L317" s="78">
        <v>16340</v>
      </c>
      <c r="M317" s="78">
        <v>22704</v>
      </c>
      <c r="N317" s="60">
        <f t="shared" si="8"/>
        <v>55384</v>
      </c>
      <c r="O317" s="62">
        <v>10000</v>
      </c>
      <c r="P317" s="60">
        <f t="shared" si="9"/>
        <v>65384</v>
      </c>
      <c r="Q317" s="44" t="s">
        <v>161</v>
      </c>
      <c r="R317" s="63">
        <v>45009</v>
      </c>
      <c r="S317" s="44"/>
      <c r="T317" s="44"/>
      <c r="U317" s="44"/>
      <c r="V317" s="79"/>
      <c r="W317" s="63">
        <v>45049</v>
      </c>
      <c r="X317" s="44"/>
      <c r="Y317" s="67" t="s">
        <v>54</v>
      </c>
      <c r="Z317" s="63">
        <v>45068</v>
      </c>
      <c r="AA317" s="44"/>
    </row>
    <row r="318" spans="1:27" s="67" customFormat="1">
      <c r="A318" s="44">
        <v>306</v>
      </c>
      <c r="B318" s="56" t="s">
        <v>841</v>
      </c>
      <c r="C318" s="44" t="s">
        <v>842</v>
      </c>
      <c r="D318" s="44" t="s">
        <v>843</v>
      </c>
      <c r="E318" s="68" t="s">
        <v>165</v>
      </c>
      <c r="F318" s="69">
        <v>15504002901024</v>
      </c>
      <c r="G318" s="44" t="s">
        <v>47</v>
      </c>
      <c r="H318" s="60">
        <v>7900</v>
      </c>
      <c r="I318" s="44">
        <v>188</v>
      </c>
      <c r="J318" s="44" t="s">
        <v>128</v>
      </c>
      <c r="K318" s="60">
        <v>948</v>
      </c>
      <c r="L318" s="60">
        <v>948</v>
      </c>
      <c r="M318" s="60">
        <v>1289.96</v>
      </c>
      <c r="N318" s="60">
        <f t="shared" si="8"/>
        <v>3185.96</v>
      </c>
      <c r="O318" s="62">
        <v>10000</v>
      </c>
      <c r="P318" s="60">
        <f t="shared" si="9"/>
        <v>13185.96</v>
      </c>
      <c r="Q318" s="44" t="s">
        <v>165</v>
      </c>
      <c r="R318" s="63">
        <v>44959</v>
      </c>
      <c r="S318" s="63">
        <v>45007</v>
      </c>
      <c r="T318" s="44"/>
      <c r="U318" s="44"/>
      <c r="V318" s="64"/>
      <c r="W318" s="65">
        <v>45016</v>
      </c>
      <c r="X318" s="44"/>
      <c r="Z318" s="44" t="s">
        <v>54</v>
      </c>
      <c r="AA318" s="44"/>
    </row>
    <row r="319" spans="1:27" s="67" customFormat="1">
      <c r="A319" s="43">
        <v>307</v>
      </c>
      <c r="B319" s="56" t="s">
        <v>844</v>
      </c>
      <c r="C319" s="44" t="s">
        <v>845</v>
      </c>
      <c r="D319" s="44">
        <v>34684</v>
      </c>
      <c r="E319" s="68" t="s">
        <v>846</v>
      </c>
      <c r="F319" s="69">
        <v>15504010000327</v>
      </c>
      <c r="G319" s="59" t="s">
        <v>47</v>
      </c>
      <c r="H319" s="60">
        <v>40600</v>
      </c>
      <c r="I319" s="61">
        <v>1450</v>
      </c>
      <c r="J319" s="44" t="s">
        <v>58</v>
      </c>
      <c r="K319" s="60">
        <v>6090</v>
      </c>
      <c r="L319" s="60">
        <v>6090</v>
      </c>
      <c r="M319" s="60">
        <v>8379.84</v>
      </c>
      <c r="N319" s="60">
        <f t="shared" si="8"/>
        <v>20559.84</v>
      </c>
      <c r="O319" s="62">
        <v>10000</v>
      </c>
      <c r="P319" s="60">
        <f t="shared" si="9"/>
        <v>30559.84</v>
      </c>
      <c r="Q319" s="44" t="s">
        <v>846</v>
      </c>
      <c r="R319" s="63">
        <v>45002</v>
      </c>
      <c r="S319" s="63">
        <v>44885</v>
      </c>
      <c r="T319" s="63"/>
      <c r="U319" s="44"/>
      <c r="V319" s="64"/>
      <c r="W319" s="65"/>
      <c r="X319" s="44"/>
      <c r="Y319" s="67" t="s">
        <v>54</v>
      </c>
      <c r="Z319" s="44"/>
      <c r="AA319" s="44"/>
    </row>
    <row r="320" spans="1:27" s="67" customFormat="1">
      <c r="A320" s="44">
        <v>308</v>
      </c>
      <c r="B320" s="56" t="s">
        <v>847</v>
      </c>
      <c r="C320" s="44" t="s">
        <v>848</v>
      </c>
      <c r="D320" s="44">
        <v>457</v>
      </c>
      <c r="E320" s="68" t="s">
        <v>41</v>
      </c>
      <c r="F320" s="69">
        <v>15504006300701</v>
      </c>
      <c r="G320" s="59" t="s">
        <v>36</v>
      </c>
      <c r="H320" s="60">
        <v>19990</v>
      </c>
      <c r="I320" s="61">
        <v>25961</v>
      </c>
      <c r="J320" s="44" t="s">
        <v>37</v>
      </c>
      <c r="K320" s="60">
        <v>3798.1</v>
      </c>
      <c r="L320" s="60">
        <v>3798.1</v>
      </c>
      <c r="M320" s="60">
        <v>5277.42</v>
      </c>
      <c r="N320" s="60">
        <f t="shared" si="8"/>
        <v>12873.619999999999</v>
      </c>
      <c r="O320" s="62">
        <v>10000</v>
      </c>
      <c r="P320" s="60">
        <f t="shared" si="9"/>
        <v>22873.62</v>
      </c>
      <c r="Q320" s="44" t="s">
        <v>41</v>
      </c>
      <c r="R320" s="63">
        <v>44875</v>
      </c>
      <c r="S320" s="63">
        <v>45014</v>
      </c>
      <c r="T320" s="63"/>
      <c r="U320" s="44"/>
      <c r="V320" s="64"/>
      <c r="W320" s="65">
        <v>45040</v>
      </c>
      <c r="X320" s="44"/>
      <c r="Y320" s="67" t="s">
        <v>54</v>
      </c>
      <c r="Z320" s="63">
        <v>45068</v>
      </c>
      <c r="AA320" s="44"/>
    </row>
    <row r="321" spans="1:27" s="67" customFormat="1">
      <c r="A321" s="44">
        <v>309</v>
      </c>
      <c r="B321" s="56" t="s">
        <v>849</v>
      </c>
      <c r="C321" s="44" t="s">
        <v>850</v>
      </c>
      <c r="D321" s="44" t="s">
        <v>851</v>
      </c>
      <c r="E321" s="68" t="s">
        <v>46</v>
      </c>
      <c r="F321" s="69">
        <v>15504007601231</v>
      </c>
      <c r="G321" s="59" t="s">
        <v>47</v>
      </c>
      <c r="H321" s="60">
        <v>7490</v>
      </c>
      <c r="I321" s="61">
        <v>104</v>
      </c>
      <c r="J321" s="44" t="s">
        <v>199</v>
      </c>
      <c r="K321" s="60">
        <v>374.5</v>
      </c>
      <c r="L321" s="60">
        <v>374.5</v>
      </c>
      <c r="M321" s="60">
        <v>467.38</v>
      </c>
      <c r="N321" s="60">
        <f t="shared" si="8"/>
        <v>1216.3800000000001</v>
      </c>
      <c r="O321" s="62">
        <v>10000</v>
      </c>
      <c r="P321" s="60">
        <f t="shared" si="9"/>
        <v>11216.380000000001</v>
      </c>
      <c r="Q321" s="44" t="s">
        <v>46</v>
      </c>
      <c r="R321" s="63">
        <v>44965</v>
      </c>
      <c r="S321" s="63">
        <v>45012</v>
      </c>
      <c r="T321" s="44"/>
      <c r="U321" s="44"/>
      <c r="V321" s="64"/>
      <c r="W321" s="65">
        <v>45029</v>
      </c>
      <c r="X321" s="44"/>
      <c r="Z321" s="44" t="s">
        <v>54</v>
      </c>
      <c r="AA321" s="63">
        <v>45062</v>
      </c>
    </row>
    <row r="322" spans="1:27">
      <c r="A322" s="43">
        <v>310</v>
      </c>
      <c r="B322" s="33" t="s">
        <v>852</v>
      </c>
      <c r="C322" s="44" t="s">
        <v>853</v>
      </c>
      <c r="D322" s="43" t="s">
        <v>854</v>
      </c>
      <c r="E322" s="45" t="s">
        <v>240</v>
      </c>
      <c r="F322" s="46">
        <v>15504003000342</v>
      </c>
      <c r="G322" s="47" t="s">
        <v>434</v>
      </c>
      <c r="H322" s="48">
        <v>11520</v>
      </c>
      <c r="I322" s="49">
        <v>128</v>
      </c>
      <c r="J322" s="43" t="s">
        <v>273</v>
      </c>
      <c r="K322" s="48">
        <v>1036.8</v>
      </c>
      <c r="L322" s="48">
        <v>1036.8</v>
      </c>
      <c r="M322" s="48">
        <v>1373.14</v>
      </c>
      <c r="N322" s="48">
        <f t="shared" si="8"/>
        <v>3446.74</v>
      </c>
      <c r="O322" s="50">
        <v>10000</v>
      </c>
      <c r="P322" s="48">
        <f t="shared" si="9"/>
        <v>13446.74</v>
      </c>
      <c r="Q322" s="43" t="s">
        <v>240</v>
      </c>
      <c r="R322" s="51">
        <v>44963</v>
      </c>
      <c r="S322" s="51">
        <v>44998</v>
      </c>
      <c r="T322" s="51"/>
      <c r="U322" s="43"/>
      <c r="V322" s="52"/>
      <c r="W322" s="53">
        <v>45019</v>
      </c>
      <c r="X322" s="51">
        <v>44988</v>
      </c>
      <c r="Z322" s="43" t="s">
        <v>54</v>
      </c>
      <c r="AA322" s="43"/>
    </row>
    <row r="323" spans="1:27">
      <c r="A323" s="44">
        <v>311</v>
      </c>
      <c r="B323" s="33" t="s">
        <v>855</v>
      </c>
      <c r="C323" s="44" t="s">
        <v>856</v>
      </c>
      <c r="D323" s="43" t="s">
        <v>52</v>
      </c>
      <c r="E323" s="45" t="s">
        <v>53</v>
      </c>
      <c r="F323" s="46">
        <v>15504001200605</v>
      </c>
      <c r="G323" s="47" t="s">
        <v>36</v>
      </c>
      <c r="H323" s="48">
        <v>17720</v>
      </c>
      <c r="I323" s="49">
        <v>50000</v>
      </c>
      <c r="J323" s="43" t="s">
        <v>37</v>
      </c>
      <c r="K323" s="48">
        <v>3366.8</v>
      </c>
      <c r="L323" s="48">
        <v>3366.8</v>
      </c>
      <c r="M323" s="48">
        <v>4663.78</v>
      </c>
      <c r="N323" s="48">
        <f t="shared" si="8"/>
        <v>11397.380000000001</v>
      </c>
      <c r="O323" s="50">
        <v>10000</v>
      </c>
      <c r="P323" s="48">
        <f t="shared" si="9"/>
        <v>21397.38</v>
      </c>
      <c r="Q323" s="43" t="s">
        <v>53</v>
      </c>
      <c r="R323" s="51">
        <v>44875</v>
      </c>
      <c r="S323" s="51">
        <v>45015</v>
      </c>
      <c r="T323" s="51"/>
      <c r="U323" s="43"/>
      <c r="V323" s="52"/>
      <c r="W323" s="53">
        <v>45034</v>
      </c>
      <c r="X323" s="43"/>
      <c r="Y323" s="55" t="s">
        <v>49</v>
      </c>
      <c r="Z323" s="43"/>
      <c r="AA323" s="43"/>
    </row>
    <row r="324" spans="1:27">
      <c r="A324" s="44">
        <v>312</v>
      </c>
      <c r="B324" s="33" t="s">
        <v>855</v>
      </c>
      <c r="C324" s="44" t="s">
        <v>857</v>
      </c>
      <c r="D324" s="43" t="s">
        <v>52</v>
      </c>
      <c r="E324" s="45" t="s">
        <v>53</v>
      </c>
      <c r="F324" s="46">
        <v>15504001200803</v>
      </c>
      <c r="G324" s="47" t="s">
        <v>36</v>
      </c>
      <c r="H324" s="48">
        <v>17720</v>
      </c>
      <c r="I324" s="49">
        <v>50000</v>
      </c>
      <c r="J324" s="43" t="s">
        <v>37</v>
      </c>
      <c r="K324" s="48">
        <v>3366.8</v>
      </c>
      <c r="L324" s="48">
        <v>3366.8</v>
      </c>
      <c r="M324" s="48">
        <v>4663.78</v>
      </c>
      <c r="N324" s="48">
        <f t="shared" si="8"/>
        <v>11397.380000000001</v>
      </c>
      <c r="O324" s="50">
        <v>10000</v>
      </c>
      <c r="P324" s="48">
        <f t="shared" si="9"/>
        <v>21397.38</v>
      </c>
      <c r="Q324" s="43" t="s">
        <v>53</v>
      </c>
      <c r="R324" s="51">
        <v>44875</v>
      </c>
      <c r="S324" s="51">
        <v>45015</v>
      </c>
      <c r="T324" s="51"/>
      <c r="U324" s="43"/>
      <c r="V324" s="52"/>
      <c r="W324" s="53">
        <v>45034</v>
      </c>
      <c r="X324" s="43"/>
      <c r="Y324" s="55" t="s">
        <v>49</v>
      </c>
      <c r="Z324" s="43"/>
      <c r="AA324" s="43"/>
    </row>
    <row r="325" spans="1:27" ht="22.5">
      <c r="A325" s="43">
        <v>313</v>
      </c>
      <c r="B325" s="33" t="s">
        <v>858</v>
      </c>
      <c r="C325" s="44" t="s">
        <v>859</v>
      </c>
      <c r="D325" s="43" t="s">
        <v>860</v>
      </c>
      <c r="E325" s="45" t="s">
        <v>789</v>
      </c>
      <c r="F325" s="46">
        <v>15504003402141</v>
      </c>
      <c r="G325" s="101" t="s">
        <v>861</v>
      </c>
      <c r="H325" s="48">
        <v>36240</v>
      </c>
      <c r="I325" s="49">
        <v>604</v>
      </c>
      <c r="J325" s="43" t="s">
        <v>37</v>
      </c>
      <c r="K325" s="48">
        <v>6885.6</v>
      </c>
      <c r="L325" s="48">
        <v>6885.6</v>
      </c>
      <c r="M325" s="48">
        <v>9538.44</v>
      </c>
      <c r="N325" s="48">
        <f t="shared" si="8"/>
        <v>23309.64</v>
      </c>
      <c r="O325" s="50">
        <v>10000</v>
      </c>
      <c r="P325" s="48">
        <f t="shared" si="9"/>
        <v>33309.64</v>
      </c>
      <c r="Q325" s="43" t="s">
        <v>789</v>
      </c>
      <c r="R325" s="51">
        <v>44876</v>
      </c>
      <c r="S325" s="51" t="s">
        <v>862</v>
      </c>
      <c r="T325" s="51"/>
      <c r="U325" s="43"/>
      <c r="V325" s="52"/>
      <c r="W325" s="53">
        <v>45030</v>
      </c>
      <c r="X325" s="43"/>
      <c r="Z325" s="43" t="s">
        <v>49</v>
      </c>
      <c r="AA325" s="43"/>
    </row>
    <row r="326" spans="1:27">
      <c r="A326" s="44">
        <v>314</v>
      </c>
      <c r="B326" s="33" t="s">
        <v>863</v>
      </c>
      <c r="C326" s="44" t="s">
        <v>864</v>
      </c>
      <c r="D326" s="43" t="s">
        <v>865</v>
      </c>
      <c r="E326" s="45" t="s">
        <v>165</v>
      </c>
      <c r="F326" s="46">
        <v>15504002901204</v>
      </c>
      <c r="G326" s="43" t="s">
        <v>36</v>
      </c>
      <c r="H326" s="48">
        <v>2960</v>
      </c>
      <c r="I326" s="43">
        <v>3851</v>
      </c>
      <c r="J326" s="43" t="s">
        <v>37</v>
      </c>
      <c r="K326" s="48">
        <v>562.4</v>
      </c>
      <c r="L326" s="48">
        <v>562.4</v>
      </c>
      <c r="M326" s="48">
        <v>781.38</v>
      </c>
      <c r="N326" s="48">
        <f t="shared" si="8"/>
        <v>1906.1799999999998</v>
      </c>
      <c r="O326" s="50">
        <v>10000</v>
      </c>
      <c r="P326" s="48">
        <f t="shared" si="9"/>
        <v>11906.18</v>
      </c>
      <c r="Q326" s="43" t="s">
        <v>165</v>
      </c>
      <c r="R326" s="51">
        <v>44959</v>
      </c>
      <c r="S326" s="51">
        <v>45007</v>
      </c>
      <c r="T326" s="43"/>
      <c r="U326" s="43"/>
      <c r="V326" s="52"/>
      <c r="W326" s="53">
        <v>45036</v>
      </c>
      <c r="X326" s="51">
        <v>44993</v>
      </c>
      <c r="Y326" s="55" t="s">
        <v>54</v>
      </c>
      <c r="Z326" s="43"/>
      <c r="AA326" s="43"/>
    </row>
    <row r="327" spans="1:27">
      <c r="A327" s="44">
        <v>315</v>
      </c>
      <c r="B327" s="33" t="s">
        <v>866</v>
      </c>
      <c r="C327" s="44" t="s">
        <v>867</v>
      </c>
      <c r="D327" s="43" t="s">
        <v>868</v>
      </c>
      <c r="E327" s="45" t="s">
        <v>165</v>
      </c>
      <c r="F327" s="46">
        <v>15504002901748</v>
      </c>
      <c r="G327" s="43" t="s">
        <v>119</v>
      </c>
      <c r="H327" s="48">
        <v>10500</v>
      </c>
      <c r="I327" s="43">
        <v>250</v>
      </c>
      <c r="J327" s="43" t="s">
        <v>63</v>
      </c>
      <c r="K327" s="48">
        <v>1470</v>
      </c>
      <c r="L327" s="48">
        <v>1470</v>
      </c>
      <c r="M327" s="48">
        <v>2007.6</v>
      </c>
      <c r="N327" s="48">
        <f t="shared" si="8"/>
        <v>4947.6000000000004</v>
      </c>
      <c r="O327" s="50">
        <v>10000</v>
      </c>
      <c r="P327" s="48">
        <f t="shared" si="9"/>
        <v>14947.6</v>
      </c>
      <c r="Q327" s="43" t="s">
        <v>165</v>
      </c>
      <c r="R327" s="51">
        <v>44959</v>
      </c>
      <c r="S327" s="51">
        <v>45007</v>
      </c>
      <c r="T327" s="43"/>
      <c r="U327" s="43"/>
      <c r="V327" s="52"/>
      <c r="W327" s="53">
        <v>45016</v>
      </c>
      <c r="X327" s="51">
        <v>44993</v>
      </c>
      <c r="Z327" s="43" t="s">
        <v>54</v>
      </c>
      <c r="AA327" s="43"/>
    </row>
    <row r="328" spans="1:27">
      <c r="A328" s="43">
        <v>316</v>
      </c>
      <c r="B328" s="33" t="s">
        <v>869</v>
      </c>
      <c r="C328" s="44" t="s">
        <v>870</v>
      </c>
      <c r="D328" s="43" t="s">
        <v>871</v>
      </c>
      <c r="E328" s="45" t="s">
        <v>165</v>
      </c>
      <c r="F328" s="46">
        <v>15504002900503</v>
      </c>
      <c r="G328" s="43" t="s">
        <v>36</v>
      </c>
      <c r="H328" s="48">
        <v>9110</v>
      </c>
      <c r="I328" s="43">
        <v>11570</v>
      </c>
      <c r="J328" s="43" t="s">
        <v>324</v>
      </c>
      <c r="K328" s="48">
        <v>728.8</v>
      </c>
      <c r="L328" s="48">
        <v>728.8</v>
      </c>
      <c r="M328" s="48">
        <v>962</v>
      </c>
      <c r="N328" s="48">
        <f t="shared" si="8"/>
        <v>2419.6</v>
      </c>
      <c r="O328" s="50">
        <v>10000</v>
      </c>
      <c r="P328" s="48">
        <f t="shared" si="9"/>
        <v>12419.6</v>
      </c>
      <c r="Q328" s="43" t="s">
        <v>165</v>
      </c>
      <c r="R328" s="51">
        <v>44959</v>
      </c>
      <c r="S328" s="51">
        <v>45007</v>
      </c>
      <c r="T328" s="43"/>
      <c r="U328" s="43"/>
      <c r="V328" s="52"/>
      <c r="W328" s="53">
        <v>45016</v>
      </c>
      <c r="X328" s="51">
        <v>44993</v>
      </c>
      <c r="Z328" s="43" t="s">
        <v>54</v>
      </c>
      <c r="AA328" s="43"/>
    </row>
    <row r="329" spans="1:27">
      <c r="A329" s="44">
        <v>317</v>
      </c>
      <c r="B329" s="33" t="s">
        <v>872</v>
      </c>
      <c r="C329" s="44" t="s">
        <v>873</v>
      </c>
      <c r="D329" s="43" t="s">
        <v>874</v>
      </c>
      <c r="E329" s="45" t="s">
        <v>165</v>
      </c>
      <c r="F329" s="46">
        <v>15504002901030</v>
      </c>
      <c r="G329" s="43" t="s">
        <v>119</v>
      </c>
      <c r="H329" s="48">
        <v>70</v>
      </c>
      <c r="I329" s="43">
        <v>114</v>
      </c>
      <c r="J329" s="43" t="s">
        <v>128</v>
      </c>
      <c r="K329" s="48">
        <v>8.4</v>
      </c>
      <c r="L329" s="48">
        <v>8.4</v>
      </c>
      <c r="M329" s="48">
        <v>11.3</v>
      </c>
      <c r="N329" s="48">
        <f t="shared" si="8"/>
        <v>28.1</v>
      </c>
      <c r="O329" s="50">
        <v>10000</v>
      </c>
      <c r="P329" s="48">
        <f t="shared" si="9"/>
        <v>10028.1</v>
      </c>
      <c r="Q329" s="43" t="s">
        <v>165</v>
      </c>
      <c r="R329" s="51">
        <v>44959</v>
      </c>
      <c r="S329" s="51">
        <v>45007</v>
      </c>
      <c r="T329" s="43"/>
      <c r="U329" s="43"/>
      <c r="V329" s="52"/>
      <c r="W329" s="53">
        <v>45016</v>
      </c>
      <c r="X329" s="51">
        <v>44993</v>
      </c>
      <c r="Z329" s="43" t="s">
        <v>49</v>
      </c>
      <c r="AA329" s="43"/>
    </row>
    <row r="330" spans="1:27">
      <c r="A330" s="44">
        <v>318</v>
      </c>
      <c r="B330" s="33" t="s">
        <v>872</v>
      </c>
      <c r="C330" s="44" t="s">
        <v>875</v>
      </c>
      <c r="D330" s="43" t="s">
        <v>876</v>
      </c>
      <c r="E330" s="45" t="s">
        <v>165</v>
      </c>
      <c r="F330" s="46">
        <v>15504002901034</v>
      </c>
      <c r="G330" s="43" t="s">
        <v>119</v>
      </c>
      <c r="H330" s="48">
        <v>130</v>
      </c>
      <c r="I330" s="43">
        <v>209</v>
      </c>
      <c r="J330" s="43" t="s">
        <v>128</v>
      </c>
      <c r="K330" s="48">
        <v>15.6</v>
      </c>
      <c r="L330" s="48">
        <v>15.6</v>
      </c>
      <c r="M330" s="48">
        <v>21.18</v>
      </c>
      <c r="N330" s="48">
        <f t="shared" si="8"/>
        <v>52.379999999999995</v>
      </c>
      <c r="O330" s="50">
        <v>10000</v>
      </c>
      <c r="P330" s="48">
        <f t="shared" si="9"/>
        <v>10052.379999999999</v>
      </c>
      <c r="Q330" s="43" t="s">
        <v>165</v>
      </c>
      <c r="R330" s="51">
        <v>44959</v>
      </c>
      <c r="S330" s="51">
        <v>45007</v>
      </c>
      <c r="T330" s="43"/>
      <c r="U330" s="43"/>
      <c r="V330" s="52"/>
      <c r="W330" s="53">
        <v>45016</v>
      </c>
      <c r="X330" s="51">
        <v>44993</v>
      </c>
      <c r="Z330" s="43" t="s">
        <v>49</v>
      </c>
      <c r="AA330" s="43"/>
    </row>
    <row r="331" spans="1:27">
      <c r="A331" s="43">
        <v>319</v>
      </c>
      <c r="B331" s="33" t="s">
        <v>872</v>
      </c>
      <c r="C331" s="44" t="s">
        <v>877</v>
      </c>
      <c r="D331" s="43" t="s">
        <v>878</v>
      </c>
      <c r="E331" s="45" t="s">
        <v>165</v>
      </c>
      <c r="F331" s="46">
        <v>15504002901036</v>
      </c>
      <c r="G331" s="43" t="s">
        <v>248</v>
      </c>
      <c r="H331" s="48">
        <v>160</v>
      </c>
      <c r="I331" s="43">
        <v>253</v>
      </c>
      <c r="J331" s="43" t="s">
        <v>128</v>
      </c>
      <c r="K331" s="48">
        <v>19.2</v>
      </c>
      <c r="L331" s="48">
        <v>19.2</v>
      </c>
      <c r="M331" s="48">
        <v>25.94</v>
      </c>
      <c r="N331" s="48">
        <f t="shared" si="8"/>
        <v>64.34</v>
      </c>
      <c r="O331" s="50">
        <v>10000</v>
      </c>
      <c r="P331" s="48">
        <f t="shared" si="9"/>
        <v>10064.34</v>
      </c>
      <c r="Q331" s="43" t="s">
        <v>165</v>
      </c>
      <c r="R331" s="51">
        <v>44959</v>
      </c>
      <c r="S331" s="51">
        <v>45007</v>
      </c>
      <c r="T331" s="43"/>
      <c r="U331" s="43"/>
      <c r="V331" s="52"/>
      <c r="W331" s="53">
        <v>45016</v>
      </c>
      <c r="X331" s="51">
        <v>44993</v>
      </c>
      <c r="Z331" s="43" t="s">
        <v>49</v>
      </c>
      <c r="AA331" s="43"/>
    </row>
    <row r="332" spans="1:27" s="67" customFormat="1">
      <c r="A332" s="44">
        <v>320</v>
      </c>
      <c r="B332" s="56" t="s">
        <v>879</v>
      </c>
      <c r="C332" s="44" t="s">
        <v>880</v>
      </c>
      <c r="D332" s="44" t="s">
        <v>881</v>
      </c>
      <c r="E332" s="68" t="s">
        <v>165</v>
      </c>
      <c r="F332" s="69">
        <v>15504002901311</v>
      </c>
      <c r="G332" s="44" t="s">
        <v>36</v>
      </c>
      <c r="H332" s="60">
        <v>2380</v>
      </c>
      <c r="I332" s="44">
        <v>2837</v>
      </c>
      <c r="J332" s="44" t="s">
        <v>92</v>
      </c>
      <c r="K332" s="60">
        <v>142.80000000000001</v>
      </c>
      <c r="L332" s="60">
        <v>142.80000000000001</v>
      </c>
      <c r="M332" s="60">
        <v>180.9</v>
      </c>
      <c r="N332" s="60">
        <f t="shared" si="8"/>
        <v>466.5</v>
      </c>
      <c r="O332" s="62">
        <v>10000</v>
      </c>
      <c r="P332" s="60">
        <f t="shared" si="9"/>
        <v>10466.5</v>
      </c>
      <c r="Q332" s="44" t="s">
        <v>165</v>
      </c>
      <c r="R332" s="63">
        <v>44959</v>
      </c>
      <c r="S332" s="63">
        <v>45007</v>
      </c>
      <c r="T332" s="44"/>
      <c r="U332" s="44"/>
      <c r="V332" s="64"/>
      <c r="W332" s="65">
        <v>45036</v>
      </c>
      <c r="X332" s="63">
        <v>44993</v>
      </c>
      <c r="Y332" s="67" t="s">
        <v>54</v>
      </c>
      <c r="Z332" s="44"/>
      <c r="AA332" s="44"/>
    </row>
    <row r="333" spans="1:27" s="67" customFormat="1">
      <c r="A333" s="44">
        <v>321</v>
      </c>
      <c r="B333" s="56" t="s">
        <v>882</v>
      </c>
      <c r="C333" s="44" t="s">
        <v>883</v>
      </c>
      <c r="D333" s="44" t="s">
        <v>884</v>
      </c>
      <c r="E333" s="68" t="s">
        <v>165</v>
      </c>
      <c r="F333" s="69">
        <v>15504002900614</v>
      </c>
      <c r="G333" s="44" t="s">
        <v>36</v>
      </c>
      <c r="H333" s="60">
        <v>3990</v>
      </c>
      <c r="I333" s="44">
        <v>4755</v>
      </c>
      <c r="J333" s="44" t="s">
        <v>273</v>
      </c>
      <c r="K333" s="60">
        <v>359.1</v>
      </c>
      <c r="L333" s="60">
        <v>359.1</v>
      </c>
      <c r="M333" s="60">
        <v>475.64</v>
      </c>
      <c r="N333" s="60">
        <f t="shared" si="8"/>
        <v>1193.8400000000001</v>
      </c>
      <c r="O333" s="62">
        <v>10000</v>
      </c>
      <c r="P333" s="60">
        <f t="shared" si="9"/>
        <v>11193.84</v>
      </c>
      <c r="Q333" s="44" t="s">
        <v>165</v>
      </c>
      <c r="R333" s="63">
        <v>44959</v>
      </c>
      <c r="S333" s="63">
        <v>45007</v>
      </c>
      <c r="T333" s="44"/>
      <c r="U333" s="44"/>
      <c r="V333" s="64"/>
      <c r="W333" s="65">
        <v>45036</v>
      </c>
      <c r="X333" s="63">
        <v>44993</v>
      </c>
      <c r="Y333" s="67" t="s">
        <v>54</v>
      </c>
      <c r="Z333" s="44"/>
      <c r="AA333" s="44"/>
    </row>
    <row r="334" spans="1:27">
      <c r="A334" s="43">
        <v>322</v>
      </c>
      <c r="B334" s="33" t="s">
        <v>885</v>
      </c>
      <c r="C334" s="44" t="s">
        <v>886</v>
      </c>
      <c r="D334" s="43" t="s">
        <v>887</v>
      </c>
      <c r="E334" s="45" t="s">
        <v>165</v>
      </c>
      <c r="F334" s="46">
        <v>15504002900204</v>
      </c>
      <c r="G334" s="43" t="s">
        <v>888</v>
      </c>
      <c r="H334" s="48">
        <v>10120</v>
      </c>
      <c r="I334" s="43">
        <v>241</v>
      </c>
      <c r="J334" s="43" t="s">
        <v>199</v>
      </c>
      <c r="K334" s="48">
        <v>506</v>
      </c>
      <c r="L334" s="48">
        <v>506</v>
      </c>
      <c r="M334" s="48">
        <v>623.38</v>
      </c>
      <c r="N334" s="48">
        <f t="shared" ref="N334:N397" si="10">K334+L334+M334</f>
        <v>1635.38</v>
      </c>
      <c r="O334" s="50">
        <v>10000</v>
      </c>
      <c r="P334" s="48">
        <f t="shared" ref="P334:P397" si="11">K334+L334+M334+O334</f>
        <v>11635.380000000001</v>
      </c>
      <c r="Q334" s="43" t="s">
        <v>165</v>
      </c>
      <c r="R334" s="51">
        <v>44959</v>
      </c>
      <c r="S334" s="51">
        <v>45007</v>
      </c>
      <c r="T334" s="43"/>
      <c r="U334" s="43"/>
      <c r="V334" s="52"/>
      <c r="W334" s="53">
        <v>45016</v>
      </c>
      <c r="X334" s="51">
        <v>45019</v>
      </c>
      <c r="Z334" s="43" t="s">
        <v>49</v>
      </c>
      <c r="AA334" s="43"/>
    </row>
    <row r="335" spans="1:27">
      <c r="A335" s="44">
        <v>323</v>
      </c>
      <c r="B335" s="33" t="s">
        <v>889</v>
      </c>
      <c r="C335" s="44" t="s">
        <v>890</v>
      </c>
      <c r="D335" s="43">
        <v>41154</v>
      </c>
      <c r="E335" s="45" t="s">
        <v>165</v>
      </c>
      <c r="F335" s="46">
        <v>15504002901015</v>
      </c>
      <c r="G335" s="43" t="s">
        <v>119</v>
      </c>
      <c r="H335" s="48">
        <v>20920</v>
      </c>
      <c r="I335" s="43">
        <v>498</v>
      </c>
      <c r="J335" s="43" t="s">
        <v>324</v>
      </c>
      <c r="K335" s="48">
        <v>1673.6</v>
      </c>
      <c r="L335" s="48">
        <v>1673.6</v>
      </c>
      <c r="M335" s="48">
        <v>2192.38</v>
      </c>
      <c r="N335" s="48">
        <f t="shared" si="10"/>
        <v>5539.58</v>
      </c>
      <c r="O335" s="50">
        <v>10000</v>
      </c>
      <c r="P335" s="48">
        <f t="shared" si="11"/>
        <v>15539.58</v>
      </c>
      <c r="Q335" s="43" t="s">
        <v>165</v>
      </c>
      <c r="R335" s="51">
        <v>44959</v>
      </c>
      <c r="S335" s="51">
        <v>45007</v>
      </c>
      <c r="T335" s="43"/>
      <c r="U335" s="43"/>
      <c r="V335" s="52"/>
      <c r="W335" s="53">
        <v>45016</v>
      </c>
      <c r="X335" s="51">
        <v>45019</v>
      </c>
      <c r="Z335" s="43" t="s">
        <v>49</v>
      </c>
      <c r="AA335" s="43"/>
    </row>
    <row r="336" spans="1:27">
      <c r="A336" s="44">
        <v>324</v>
      </c>
      <c r="B336" s="33" t="s">
        <v>891</v>
      </c>
      <c r="C336" s="44" t="s">
        <v>892</v>
      </c>
      <c r="D336" s="43" t="s">
        <v>893</v>
      </c>
      <c r="E336" s="45" t="s">
        <v>307</v>
      </c>
      <c r="F336" s="72"/>
      <c r="G336" s="47" t="s">
        <v>36</v>
      </c>
      <c r="H336" s="48">
        <v>2156220</v>
      </c>
      <c r="I336" s="49">
        <v>21654</v>
      </c>
      <c r="J336" s="43" t="s">
        <v>37</v>
      </c>
      <c r="K336" s="71">
        <v>409681.8</v>
      </c>
      <c r="L336" s="71">
        <v>409681.8</v>
      </c>
      <c r="M336" s="71">
        <v>567516.98</v>
      </c>
      <c r="N336" s="48">
        <f t="shared" si="10"/>
        <v>1386880.58</v>
      </c>
      <c r="O336" s="50">
        <v>10000</v>
      </c>
      <c r="P336" s="48">
        <f t="shared" si="11"/>
        <v>1396880.58</v>
      </c>
      <c r="Q336" s="43" t="s">
        <v>307</v>
      </c>
      <c r="R336" s="51">
        <v>45000</v>
      </c>
      <c r="S336" s="51">
        <v>45036</v>
      </c>
      <c r="T336" s="72"/>
      <c r="U336" s="43"/>
      <c r="V336" s="43"/>
      <c r="W336" s="43"/>
      <c r="X336" s="43"/>
      <c r="Z336" s="43"/>
      <c r="AA336" s="43"/>
    </row>
    <row r="337" spans="1:27">
      <c r="A337" s="43">
        <v>325</v>
      </c>
      <c r="B337" s="33" t="s">
        <v>891</v>
      </c>
      <c r="C337" s="44" t="s">
        <v>894</v>
      </c>
      <c r="D337" s="43" t="s">
        <v>895</v>
      </c>
      <c r="E337" s="45" t="s">
        <v>307</v>
      </c>
      <c r="F337" s="72"/>
      <c r="G337" s="47" t="s">
        <v>36</v>
      </c>
      <c r="H337" s="48">
        <v>5320</v>
      </c>
      <c r="I337" s="49">
        <v>6199</v>
      </c>
      <c r="J337" s="43" t="s">
        <v>37</v>
      </c>
      <c r="K337" s="71">
        <v>1010.8</v>
      </c>
      <c r="L337" s="71">
        <v>1010.8</v>
      </c>
      <c r="M337" s="71">
        <v>1400.1</v>
      </c>
      <c r="N337" s="48">
        <f t="shared" si="10"/>
        <v>3421.7</v>
      </c>
      <c r="O337" s="50">
        <v>10000</v>
      </c>
      <c r="P337" s="48">
        <f t="shared" si="11"/>
        <v>13421.7</v>
      </c>
      <c r="Q337" s="43" t="s">
        <v>307</v>
      </c>
      <c r="R337" s="51">
        <v>45000</v>
      </c>
      <c r="S337" s="51">
        <v>45036</v>
      </c>
      <c r="T337" s="72"/>
      <c r="U337" s="43"/>
      <c r="V337" s="43"/>
      <c r="W337" s="43"/>
      <c r="X337" s="43"/>
      <c r="Z337" s="43"/>
      <c r="AA337" s="43"/>
    </row>
    <row r="338" spans="1:27">
      <c r="A338" s="44">
        <v>326</v>
      </c>
      <c r="B338" s="33" t="s">
        <v>891</v>
      </c>
      <c r="C338" s="44" t="s">
        <v>896</v>
      </c>
      <c r="D338" s="43">
        <v>21683</v>
      </c>
      <c r="E338" s="45" t="s">
        <v>307</v>
      </c>
      <c r="F338" s="72"/>
      <c r="G338" s="47" t="s">
        <v>47</v>
      </c>
      <c r="H338" s="48">
        <v>180970</v>
      </c>
      <c r="I338" s="49">
        <v>2207</v>
      </c>
      <c r="J338" s="43" t="s">
        <v>37</v>
      </c>
      <c r="K338" s="71">
        <v>34384.300000000003</v>
      </c>
      <c r="L338" s="71">
        <v>34384.300000000003</v>
      </c>
      <c r="M338" s="71">
        <v>47631.18</v>
      </c>
      <c r="N338" s="48">
        <f t="shared" si="10"/>
        <v>116399.78</v>
      </c>
      <c r="O338" s="50">
        <v>10000</v>
      </c>
      <c r="P338" s="48">
        <f t="shared" si="11"/>
        <v>126399.78</v>
      </c>
      <c r="Q338" s="43" t="s">
        <v>307</v>
      </c>
      <c r="R338" s="51">
        <v>45000</v>
      </c>
      <c r="S338" s="51">
        <v>45036</v>
      </c>
      <c r="T338" s="72"/>
      <c r="U338" s="43"/>
      <c r="V338" s="43"/>
      <c r="W338" s="43"/>
      <c r="X338" s="43"/>
      <c r="Z338" s="43"/>
      <c r="AA338" s="43"/>
    </row>
    <row r="339" spans="1:27">
      <c r="A339" s="44">
        <v>327</v>
      </c>
      <c r="B339" s="33" t="s">
        <v>891</v>
      </c>
      <c r="C339" s="44" t="s">
        <v>897</v>
      </c>
      <c r="D339" s="43" t="s">
        <v>898</v>
      </c>
      <c r="E339" s="45" t="s">
        <v>307</v>
      </c>
      <c r="F339" s="72"/>
      <c r="G339" s="47" t="s">
        <v>293</v>
      </c>
      <c r="H339" s="48">
        <v>39670</v>
      </c>
      <c r="I339" s="49">
        <v>215</v>
      </c>
      <c r="J339" s="43" t="s">
        <v>37</v>
      </c>
      <c r="K339" s="71">
        <v>11305.95</v>
      </c>
      <c r="L339" s="71">
        <v>7537.3</v>
      </c>
      <c r="M339" s="71">
        <v>13051.44</v>
      </c>
      <c r="N339" s="48">
        <f t="shared" si="10"/>
        <v>31894.690000000002</v>
      </c>
      <c r="O339" s="50">
        <v>10000</v>
      </c>
      <c r="P339" s="48">
        <f t="shared" si="11"/>
        <v>41894.69</v>
      </c>
      <c r="Q339" s="43" t="s">
        <v>307</v>
      </c>
      <c r="R339" s="51">
        <v>45000</v>
      </c>
      <c r="S339" s="51">
        <v>45036</v>
      </c>
      <c r="T339" s="72"/>
      <c r="U339" s="43"/>
      <c r="V339" s="43"/>
      <c r="W339" s="43"/>
      <c r="X339" s="43"/>
      <c r="Z339" s="43"/>
      <c r="AA339" s="43"/>
    </row>
    <row r="340" spans="1:27">
      <c r="A340" s="43">
        <v>328</v>
      </c>
      <c r="B340" s="33" t="s">
        <v>891</v>
      </c>
      <c r="C340" s="44" t="s">
        <v>899</v>
      </c>
      <c r="D340" s="43" t="s">
        <v>900</v>
      </c>
      <c r="E340" s="45" t="s">
        <v>307</v>
      </c>
      <c r="F340" s="72"/>
      <c r="G340" s="47" t="s">
        <v>293</v>
      </c>
      <c r="H340" s="48">
        <v>240780</v>
      </c>
      <c r="I340" s="49">
        <v>1305</v>
      </c>
      <c r="J340" s="43" t="s">
        <v>37</v>
      </c>
      <c r="K340" s="71">
        <v>68622.3</v>
      </c>
      <c r="L340" s="71">
        <v>45748.2</v>
      </c>
      <c r="M340" s="71">
        <v>79216.62</v>
      </c>
      <c r="N340" s="48">
        <f t="shared" si="10"/>
        <v>193587.12</v>
      </c>
      <c r="O340" s="50">
        <v>10000</v>
      </c>
      <c r="P340" s="48">
        <f t="shared" si="11"/>
        <v>203587.12</v>
      </c>
      <c r="Q340" s="43" t="s">
        <v>307</v>
      </c>
      <c r="R340" s="51">
        <v>45000</v>
      </c>
      <c r="S340" s="51">
        <v>45036</v>
      </c>
      <c r="T340" s="72"/>
      <c r="U340" s="43"/>
      <c r="V340" s="43"/>
      <c r="W340" s="43"/>
      <c r="X340" s="43"/>
      <c r="Z340" s="43"/>
      <c r="AA340" s="43"/>
    </row>
    <row r="341" spans="1:27">
      <c r="A341" s="44">
        <v>329</v>
      </c>
      <c r="B341" s="33" t="s">
        <v>891</v>
      </c>
      <c r="C341" s="44" t="s">
        <v>901</v>
      </c>
      <c r="D341" s="43" t="s">
        <v>902</v>
      </c>
      <c r="E341" s="45" t="s">
        <v>307</v>
      </c>
      <c r="F341" s="72"/>
      <c r="G341" s="47" t="s">
        <v>293</v>
      </c>
      <c r="H341" s="48">
        <v>327090</v>
      </c>
      <c r="I341" s="49">
        <v>1772.81</v>
      </c>
      <c r="J341" s="43" t="s">
        <v>37</v>
      </c>
      <c r="K341" s="71">
        <v>93220.65</v>
      </c>
      <c r="L341" s="71">
        <v>62147.1</v>
      </c>
      <c r="M341" s="71">
        <v>107612.61</v>
      </c>
      <c r="N341" s="48">
        <f t="shared" si="10"/>
        <v>262980.36</v>
      </c>
      <c r="O341" s="50">
        <v>10000</v>
      </c>
      <c r="P341" s="48">
        <f t="shared" si="11"/>
        <v>272980.36</v>
      </c>
      <c r="Q341" s="43" t="s">
        <v>307</v>
      </c>
      <c r="R341" s="51">
        <v>45000</v>
      </c>
      <c r="S341" s="51">
        <v>45036</v>
      </c>
      <c r="T341" s="72"/>
      <c r="U341" s="43"/>
      <c r="V341" s="43"/>
      <c r="W341" s="43"/>
      <c r="X341" s="43"/>
      <c r="Z341" s="43"/>
      <c r="AA341" s="43"/>
    </row>
    <row r="342" spans="1:27">
      <c r="A342" s="44">
        <v>330</v>
      </c>
      <c r="B342" s="33" t="s">
        <v>891</v>
      </c>
      <c r="C342" s="44" t="s">
        <v>903</v>
      </c>
      <c r="D342" s="43" t="s">
        <v>904</v>
      </c>
      <c r="E342" s="45" t="s">
        <v>307</v>
      </c>
      <c r="F342" s="72"/>
      <c r="G342" s="47" t="s">
        <v>293</v>
      </c>
      <c r="H342" s="48">
        <v>373800</v>
      </c>
      <c r="I342" s="49">
        <v>2026</v>
      </c>
      <c r="J342" s="43" t="s">
        <v>37</v>
      </c>
      <c r="K342" s="71">
        <v>106533</v>
      </c>
      <c r="L342" s="71">
        <v>71022</v>
      </c>
      <c r="M342" s="71">
        <v>122980.2</v>
      </c>
      <c r="N342" s="48">
        <f t="shared" si="10"/>
        <v>300535.2</v>
      </c>
      <c r="O342" s="50">
        <v>10000</v>
      </c>
      <c r="P342" s="48">
        <f t="shared" si="11"/>
        <v>310535.2</v>
      </c>
      <c r="Q342" s="43" t="s">
        <v>307</v>
      </c>
      <c r="R342" s="51">
        <v>45000</v>
      </c>
      <c r="S342" s="51">
        <v>45036</v>
      </c>
      <c r="T342" s="72"/>
      <c r="U342" s="43"/>
      <c r="V342" s="43"/>
      <c r="W342" s="43"/>
      <c r="X342" s="43"/>
      <c r="Z342" s="43"/>
      <c r="AA342" s="43"/>
    </row>
    <row r="343" spans="1:27">
      <c r="A343" s="43">
        <v>331</v>
      </c>
      <c r="B343" s="33" t="s">
        <v>891</v>
      </c>
      <c r="C343" s="44" t="s">
        <v>905</v>
      </c>
      <c r="D343" s="43"/>
      <c r="E343" s="45" t="s">
        <v>307</v>
      </c>
      <c r="F343" s="72"/>
      <c r="G343" s="47" t="s">
        <v>293</v>
      </c>
      <c r="H343" s="48">
        <v>55350</v>
      </c>
      <c r="I343" s="49">
        <v>29669</v>
      </c>
      <c r="J343" s="43" t="s">
        <v>37</v>
      </c>
      <c r="K343" s="71">
        <v>15774.75</v>
      </c>
      <c r="L343" s="71">
        <v>10516.5</v>
      </c>
      <c r="M343" s="71">
        <v>18210.16</v>
      </c>
      <c r="N343" s="48">
        <f t="shared" si="10"/>
        <v>44501.41</v>
      </c>
      <c r="O343" s="50">
        <v>10000</v>
      </c>
      <c r="P343" s="48">
        <f t="shared" si="11"/>
        <v>54501.41</v>
      </c>
      <c r="Q343" s="43" t="s">
        <v>307</v>
      </c>
      <c r="R343" s="51">
        <v>45000</v>
      </c>
      <c r="S343" s="51">
        <v>45036</v>
      </c>
      <c r="T343" s="72"/>
      <c r="U343" s="43"/>
      <c r="V343" s="43"/>
      <c r="W343" s="43"/>
      <c r="X343" s="43"/>
      <c r="Z343" s="43"/>
      <c r="AA343" s="43"/>
    </row>
    <row r="344" spans="1:27" s="67" customFormat="1" ht="33.75">
      <c r="A344" s="44">
        <v>332</v>
      </c>
      <c r="B344" s="56" t="s">
        <v>891</v>
      </c>
      <c r="C344" s="44" t="s">
        <v>906</v>
      </c>
      <c r="D344" s="117" t="s">
        <v>907</v>
      </c>
      <c r="E344" s="68" t="s">
        <v>307</v>
      </c>
      <c r="F344" s="79"/>
      <c r="G344" s="59" t="s">
        <v>293</v>
      </c>
      <c r="H344" s="118">
        <v>10328920</v>
      </c>
      <c r="I344" s="61">
        <v>73930</v>
      </c>
      <c r="J344" s="44" t="s">
        <v>37</v>
      </c>
      <c r="K344" s="78">
        <v>2943742.2</v>
      </c>
      <c r="L344" s="78">
        <v>1962494.8</v>
      </c>
      <c r="M344" s="78">
        <v>3398214.68</v>
      </c>
      <c r="N344" s="60">
        <f t="shared" si="10"/>
        <v>8304451.6799999997</v>
      </c>
      <c r="O344" s="62">
        <v>10000</v>
      </c>
      <c r="P344" s="60">
        <f t="shared" si="11"/>
        <v>8314451.6799999997</v>
      </c>
      <c r="Q344" s="44" t="s">
        <v>307</v>
      </c>
      <c r="R344" s="63">
        <v>45000</v>
      </c>
      <c r="S344" s="63">
        <v>45036</v>
      </c>
      <c r="T344" s="79"/>
      <c r="U344" s="44"/>
      <c r="V344" s="44"/>
      <c r="W344" s="44"/>
      <c r="X344" s="44"/>
      <c r="Z344" s="44"/>
      <c r="AA344" s="44"/>
    </row>
    <row r="345" spans="1:27">
      <c r="A345" s="44">
        <v>333</v>
      </c>
      <c r="B345" s="33" t="s">
        <v>891</v>
      </c>
      <c r="C345" s="44" t="s">
        <v>908</v>
      </c>
      <c r="D345" s="43">
        <v>7485</v>
      </c>
      <c r="E345" s="45" t="s">
        <v>307</v>
      </c>
      <c r="F345" s="72"/>
      <c r="G345" s="47" t="s">
        <v>47</v>
      </c>
      <c r="H345" s="48">
        <v>21070</v>
      </c>
      <c r="I345" s="49">
        <v>257</v>
      </c>
      <c r="J345" s="43" t="s">
        <v>37</v>
      </c>
      <c r="K345" s="71">
        <v>4003.3</v>
      </c>
      <c r="L345" s="71">
        <v>4003.3</v>
      </c>
      <c r="M345" s="71">
        <v>5545.5</v>
      </c>
      <c r="N345" s="48">
        <f t="shared" si="10"/>
        <v>13552.1</v>
      </c>
      <c r="O345" s="50">
        <v>10000</v>
      </c>
      <c r="P345" s="48">
        <f t="shared" si="11"/>
        <v>23552.1</v>
      </c>
      <c r="Q345" s="43" t="s">
        <v>307</v>
      </c>
      <c r="R345" s="51">
        <v>45000</v>
      </c>
      <c r="S345" s="51">
        <v>45036</v>
      </c>
      <c r="T345" s="72"/>
      <c r="U345" s="43"/>
      <c r="V345" s="43"/>
      <c r="W345" s="43"/>
      <c r="X345" s="43"/>
      <c r="Z345" s="43"/>
      <c r="AA345" s="43"/>
    </row>
    <row r="346" spans="1:27">
      <c r="A346" s="43">
        <v>334</v>
      </c>
      <c r="B346" s="33" t="s">
        <v>891</v>
      </c>
      <c r="C346" s="44" t="s">
        <v>909</v>
      </c>
      <c r="D346" s="43" t="s">
        <v>910</v>
      </c>
      <c r="E346" s="45" t="s">
        <v>307</v>
      </c>
      <c r="F346" s="72"/>
      <c r="G346" s="47" t="s">
        <v>47</v>
      </c>
      <c r="H346" s="48">
        <v>13610</v>
      </c>
      <c r="I346" s="49">
        <v>166</v>
      </c>
      <c r="J346" s="43" t="s">
        <v>37</v>
      </c>
      <c r="K346" s="71">
        <v>2585.9</v>
      </c>
      <c r="L346" s="71">
        <v>2585.9</v>
      </c>
      <c r="M346" s="71">
        <v>3582.08</v>
      </c>
      <c r="N346" s="48">
        <f t="shared" si="10"/>
        <v>8753.880000000001</v>
      </c>
      <c r="O346" s="50">
        <v>10000</v>
      </c>
      <c r="P346" s="48">
        <f t="shared" si="11"/>
        <v>18753.88</v>
      </c>
      <c r="Q346" s="43" t="s">
        <v>307</v>
      </c>
      <c r="R346" s="51">
        <v>45000</v>
      </c>
      <c r="S346" s="51">
        <v>45036</v>
      </c>
      <c r="T346" s="72"/>
      <c r="U346" s="43"/>
      <c r="V346" s="43"/>
      <c r="W346" s="43"/>
      <c r="X346" s="43"/>
      <c r="Z346" s="43"/>
      <c r="AA346" s="43"/>
    </row>
    <row r="347" spans="1:27">
      <c r="A347" s="44">
        <v>335</v>
      </c>
      <c r="B347" s="33" t="s">
        <v>891</v>
      </c>
      <c r="C347" s="44" t="s">
        <v>911</v>
      </c>
      <c r="D347" s="70" t="s">
        <v>912</v>
      </c>
      <c r="E347" s="45" t="s">
        <v>307</v>
      </c>
      <c r="F347" s="72"/>
      <c r="G347" s="47" t="s">
        <v>47</v>
      </c>
      <c r="H347" s="48">
        <v>67850</v>
      </c>
      <c r="I347" s="49">
        <v>788</v>
      </c>
      <c r="J347" s="43" t="s">
        <v>37</v>
      </c>
      <c r="K347" s="71">
        <v>12891.5</v>
      </c>
      <c r="L347" s="71">
        <v>12891.5</v>
      </c>
      <c r="M347" s="71">
        <v>17858.12</v>
      </c>
      <c r="N347" s="48">
        <f t="shared" si="10"/>
        <v>43641.119999999995</v>
      </c>
      <c r="O347" s="50">
        <v>10000</v>
      </c>
      <c r="P347" s="48">
        <f t="shared" si="11"/>
        <v>53641.119999999995</v>
      </c>
      <c r="Q347" s="43" t="s">
        <v>307</v>
      </c>
      <c r="R347" s="51">
        <v>45000</v>
      </c>
      <c r="S347" s="51">
        <v>45036</v>
      </c>
      <c r="T347" s="72"/>
      <c r="U347" s="43"/>
      <c r="V347" s="43"/>
      <c r="W347" s="43"/>
      <c r="X347" s="43"/>
      <c r="Z347" s="43"/>
      <c r="AA347" s="43"/>
    </row>
    <row r="348" spans="1:27">
      <c r="A348" s="44">
        <v>336</v>
      </c>
      <c r="B348" s="33" t="s">
        <v>891</v>
      </c>
      <c r="C348" s="44" t="s">
        <v>913</v>
      </c>
      <c r="D348" s="43"/>
      <c r="E348" s="45" t="s">
        <v>307</v>
      </c>
      <c r="F348" s="72"/>
      <c r="G348" s="47" t="s">
        <v>914</v>
      </c>
      <c r="H348" s="48">
        <v>36000</v>
      </c>
      <c r="I348" s="49"/>
      <c r="J348" s="43" t="s">
        <v>37</v>
      </c>
      <c r="K348" s="71">
        <v>10260</v>
      </c>
      <c r="L348" s="71">
        <v>6840</v>
      </c>
      <c r="M348" s="71">
        <v>11844</v>
      </c>
      <c r="N348" s="48">
        <f t="shared" si="10"/>
        <v>28944</v>
      </c>
      <c r="O348" s="50">
        <v>10000</v>
      </c>
      <c r="P348" s="48">
        <f t="shared" si="11"/>
        <v>38944</v>
      </c>
      <c r="Q348" s="43" t="s">
        <v>307</v>
      </c>
      <c r="R348" s="51">
        <v>45000</v>
      </c>
      <c r="S348" s="51">
        <v>45036</v>
      </c>
      <c r="T348" s="72"/>
      <c r="U348" s="43"/>
      <c r="V348" s="43"/>
      <c r="W348" s="43"/>
      <c r="X348" s="43"/>
      <c r="Z348" s="43"/>
      <c r="AA348" s="43"/>
    </row>
    <row r="349" spans="1:27">
      <c r="A349" s="43">
        <v>337</v>
      </c>
      <c r="B349" s="33" t="s">
        <v>915</v>
      </c>
      <c r="C349" s="44" t="s">
        <v>916</v>
      </c>
      <c r="D349" s="43"/>
      <c r="E349" s="81" t="s">
        <v>222</v>
      </c>
      <c r="F349" s="46">
        <v>15504004800113</v>
      </c>
      <c r="G349" s="47" t="s">
        <v>36</v>
      </c>
      <c r="H349" s="48">
        <v>6390</v>
      </c>
      <c r="I349" s="49">
        <v>6097</v>
      </c>
      <c r="J349" s="43" t="s">
        <v>37</v>
      </c>
      <c r="K349" s="48">
        <v>1214.0999999999999</v>
      </c>
      <c r="L349" s="48">
        <v>1214.0999999999999</v>
      </c>
      <c r="M349" s="48">
        <v>1681.92</v>
      </c>
      <c r="N349" s="48">
        <f t="shared" si="10"/>
        <v>4110.12</v>
      </c>
      <c r="O349" s="50">
        <v>10000</v>
      </c>
      <c r="P349" s="48">
        <f t="shared" si="11"/>
        <v>14110.119999999999</v>
      </c>
      <c r="Q349" s="43" t="s">
        <v>222</v>
      </c>
      <c r="R349" s="51">
        <v>44984</v>
      </c>
      <c r="S349" s="51">
        <v>45013</v>
      </c>
      <c r="T349" s="43"/>
      <c r="U349" s="43"/>
      <c r="V349" s="52"/>
      <c r="W349" s="53"/>
      <c r="X349" s="43"/>
      <c r="Y349" s="55" t="s">
        <v>54</v>
      </c>
      <c r="Z349" s="43"/>
      <c r="AA349" s="43"/>
    </row>
    <row r="350" spans="1:27" s="67" customFormat="1">
      <c r="A350" s="44">
        <v>338</v>
      </c>
      <c r="B350" s="56" t="s">
        <v>917</v>
      </c>
      <c r="C350" s="44" t="s">
        <v>918</v>
      </c>
      <c r="D350" s="44" t="s">
        <v>919</v>
      </c>
      <c r="E350" s="68" t="s">
        <v>846</v>
      </c>
      <c r="F350" s="69">
        <v>15504010000302</v>
      </c>
      <c r="G350" s="59" t="s">
        <v>68</v>
      </c>
      <c r="H350" s="60">
        <v>55940</v>
      </c>
      <c r="I350" s="61">
        <v>1998</v>
      </c>
      <c r="J350" s="44" t="s">
        <v>37</v>
      </c>
      <c r="K350" s="60">
        <v>10628.6</v>
      </c>
      <c r="L350" s="60">
        <v>10628.6</v>
      </c>
      <c r="M350" s="60">
        <v>14768.22</v>
      </c>
      <c r="N350" s="60">
        <f t="shared" si="10"/>
        <v>36025.42</v>
      </c>
      <c r="O350" s="62">
        <v>10000</v>
      </c>
      <c r="P350" s="60">
        <f t="shared" si="11"/>
        <v>46025.42</v>
      </c>
      <c r="Q350" s="44" t="s">
        <v>846</v>
      </c>
      <c r="R350" s="63">
        <v>44986</v>
      </c>
      <c r="S350" s="63">
        <v>44885</v>
      </c>
      <c r="T350" s="63">
        <v>45005</v>
      </c>
      <c r="U350" s="44"/>
      <c r="V350" s="64"/>
      <c r="W350" s="65"/>
      <c r="X350" s="44"/>
      <c r="Y350" s="67" t="s">
        <v>54</v>
      </c>
      <c r="Z350" s="63">
        <v>45063</v>
      </c>
      <c r="AA350" s="44"/>
    </row>
    <row r="351" spans="1:27" s="67" customFormat="1">
      <c r="A351" s="44">
        <v>339</v>
      </c>
      <c r="B351" s="56" t="s">
        <v>920</v>
      </c>
      <c r="C351" s="44" t="s">
        <v>921</v>
      </c>
      <c r="D351" s="44" t="s">
        <v>922</v>
      </c>
      <c r="E351" s="68" t="s">
        <v>789</v>
      </c>
      <c r="F351" s="69">
        <v>15504003401604</v>
      </c>
      <c r="G351" s="59" t="s">
        <v>119</v>
      </c>
      <c r="H351" s="60">
        <v>56160</v>
      </c>
      <c r="I351" s="61">
        <v>936</v>
      </c>
      <c r="J351" s="44" t="s">
        <v>37</v>
      </c>
      <c r="K351" s="60">
        <v>10670.4</v>
      </c>
      <c r="L351" s="60">
        <v>10670.4</v>
      </c>
      <c r="M351" s="60">
        <v>14826.18</v>
      </c>
      <c r="N351" s="60">
        <f t="shared" si="10"/>
        <v>36166.979999999996</v>
      </c>
      <c r="O351" s="62">
        <v>10000</v>
      </c>
      <c r="P351" s="60">
        <f t="shared" si="11"/>
        <v>46166.979999999996</v>
      </c>
      <c r="Q351" s="44" t="s">
        <v>789</v>
      </c>
      <c r="R351" s="63">
        <v>44973</v>
      </c>
      <c r="S351" s="63">
        <v>44874</v>
      </c>
      <c r="T351" s="63"/>
      <c r="U351" s="44"/>
      <c r="V351" s="64"/>
      <c r="W351" s="65">
        <v>45019</v>
      </c>
      <c r="X351" s="44"/>
      <c r="Z351" s="44" t="s">
        <v>49</v>
      </c>
      <c r="AA351" s="63">
        <v>45065</v>
      </c>
    </row>
    <row r="352" spans="1:27" s="67" customFormat="1">
      <c r="A352" s="43">
        <v>340</v>
      </c>
      <c r="B352" s="56" t="s">
        <v>923</v>
      </c>
      <c r="C352" s="44" t="s">
        <v>924</v>
      </c>
      <c r="D352" s="44" t="s">
        <v>925</v>
      </c>
      <c r="E352" s="68" t="s">
        <v>289</v>
      </c>
      <c r="F352" s="69">
        <v>15504011004001</v>
      </c>
      <c r="G352" s="59" t="s">
        <v>47</v>
      </c>
      <c r="H352" s="60">
        <v>50990</v>
      </c>
      <c r="I352" s="61">
        <v>1214</v>
      </c>
      <c r="J352" s="44" t="s">
        <v>37</v>
      </c>
      <c r="K352" s="60">
        <v>9688.1</v>
      </c>
      <c r="L352" s="60">
        <v>9688.1</v>
      </c>
      <c r="M352" s="60">
        <v>13420.64</v>
      </c>
      <c r="N352" s="60">
        <f t="shared" si="10"/>
        <v>32796.839999999997</v>
      </c>
      <c r="O352" s="62">
        <v>10000</v>
      </c>
      <c r="P352" s="60">
        <f t="shared" si="11"/>
        <v>42796.84</v>
      </c>
      <c r="Q352" s="44" t="s">
        <v>289</v>
      </c>
      <c r="R352" s="63">
        <v>44986</v>
      </c>
      <c r="S352" s="63">
        <v>45006</v>
      </c>
      <c r="T352" s="63">
        <v>45015</v>
      </c>
      <c r="U352" s="44"/>
      <c r="V352" s="64"/>
      <c r="W352" s="65">
        <v>45040</v>
      </c>
      <c r="X352" s="44"/>
      <c r="Y352" s="58" t="s">
        <v>926</v>
      </c>
      <c r="Z352" s="63">
        <v>45068</v>
      </c>
      <c r="AA352" s="44"/>
    </row>
    <row r="353" spans="1:27" s="67" customFormat="1">
      <c r="A353" s="44">
        <v>341</v>
      </c>
      <c r="B353" s="56" t="s">
        <v>927</v>
      </c>
      <c r="C353" s="44" t="s">
        <v>928</v>
      </c>
      <c r="D353" s="44">
        <v>40117</v>
      </c>
      <c r="E353" s="68" t="s">
        <v>57</v>
      </c>
      <c r="F353" s="69"/>
      <c r="G353" s="59" t="s">
        <v>47</v>
      </c>
      <c r="H353" s="60">
        <v>17930</v>
      </c>
      <c r="I353" s="61">
        <v>427</v>
      </c>
      <c r="J353" s="44" t="s">
        <v>315</v>
      </c>
      <c r="K353" s="60">
        <v>717.2</v>
      </c>
      <c r="L353" s="60">
        <v>717.2</v>
      </c>
      <c r="M353" s="60">
        <v>846.3</v>
      </c>
      <c r="N353" s="60">
        <f t="shared" si="10"/>
        <v>2280.6999999999998</v>
      </c>
      <c r="O353" s="62">
        <v>10000</v>
      </c>
      <c r="P353" s="60">
        <f t="shared" si="11"/>
        <v>12280.7</v>
      </c>
      <c r="Q353" s="44" t="s">
        <v>57</v>
      </c>
      <c r="R353" s="63">
        <v>44960</v>
      </c>
      <c r="S353" s="63">
        <v>45014</v>
      </c>
      <c r="T353" s="44"/>
      <c r="U353" s="44"/>
      <c r="V353" s="64"/>
      <c r="W353" s="65">
        <v>45027</v>
      </c>
      <c r="X353" s="63">
        <v>44992</v>
      </c>
      <c r="Y353" s="67" t="s">
        <v>54</v>
      </c>
      <c r="Z353" s="63" t="s">
        <v>664</v>
      </c>
      <c r="AA353" s="44"/>
    </row>
    <row r="354" spans="1:27" s="67" customFormat="1">
      <c r="A354" s="44">
        <v>342</v>
      </c>
      <c r="B354" s="56" t="s">
        <v>929</v>
      </c>
      <c r="C354" s="44" t="s">
        <v>930</v>
      </c>
      <c r="D354" s="44" t="s">
        <v>931</v>
      </c>
      <c r="E354" s="68" t="s">
        <v>135</v>
      </c>
      <c r="F354" s="69">
        <v>15504009600607</v>
      </c>
      <c r="G354" s="59" t="s">
        <v>36</v>
      </c>
      <c r="H354" s="60">
        <v>19130</v>
      </c>
      <c r="I354" s="61">
        <v>48985</v>
      </c>
      <c r="J354" s="44" t="s">
        <v>42</v>
      </c>
      <c r="K354" s="60">
        <v>3443.4</v>
      </c>
      <c r="L354" s="60">
        <v>3443.4</v>
      </c>
      <c r="M354" s="60">
        <v>4774.9799999999996</v>
      </c>
      <c r="N354" s="60">
        <f t="shared" si="10"/>
        <v>11661.779999999999</v>
      </c>
      <c r="O354" s="62">
        <v>10000</v>
      </c>
      <c r="P354" s="60">
        <f t="shared" si="11"/>
        <v>21661.78</v>
      </c>
      <c r="Q354" s="44" t="s">
        <v>135</v>
      </c>
      <c r="R354" s="63">
        <v>44880</v>
      </c>
      <c r="S354" s="63"/>
      <c r="T354" s="63"/>
      <c r="U354" s="44"/>
      <c r="V354" s="64"/>
      <c r="W354" s="65"/>
      <c r="X354" s="44"/>
      <c r="Y354" s="67" t="s">
        <v>54</v>
      </c>
      <c r="Z354" s="63">
        <v>45063</v>
      </c>
      <c r="AA354" s="44"/>
    </row>
    <row r="355" spans="1:27" s="67" customFormat="1">
      <c r="A355" s="43">
        <v>343</v>
      </c>
      <c r="B355" s="56" t="s">
        <v>932</v>
      </c>
      <c r="C355" s="44" t="s">
        <v>933</v>
      </c>
      <c r="D355" s="44" t="s">
        <v>934</v>
      </c>
      <c r="E355" s="68" t="s">
        <v>125</v>
      </c>
      <c r="F355" s="69">
        <v>15504007100603</v>
      </c>
      <c r="G355" s="59" t="s">
        <v>36</v>
      </c>
      <c r="H355" s="60">
        <v>48600</v>
      </c>
      <c r="I355" s="61">
        <v>66638</v>
      </c>
      <c r="J355" s="44" t="s">
        <v>692</v>
      </c>
      <c r="K355" s="78"/>
      <c r="L355" s="78"/>
      <c r="M355" s="78"/>
      <c r="N355" s="60">
        <f t="shared" si="10"/>
        <v>0</v>
      </c>
      <c r="O355" s="62">
        <v>10000</v>
      </c>
      <c r="P355" s="60">
        <f t="shared" si="11"/>
        <v>10000</v>
      </c>
      <c r="Q355" s="44" t="s">
        <v>125</v>
      </c>
      <c r="R355" s="63">
        <v>44889</v>
      </c>
      <c r="S355" s="63">
        <v>45015</v>
      </c>
      <c r="T355" s="63"/>
      <c r="U355" s="44"/>
      <c r="V355" s="79"/>
      <c r="W355" s="63"/>
      <c r="X355" s="44"/>
      <c r="Z355" s="44"/>
      <c r="AA355" s="44"/>
    </row>
    <row r="356" spans="1:27" s="67" customFormat="1">
      <c r="A356" s="44">
        <v>344</v>
      </c>
      <c r="B356" s="56" t="s">
        <v>935</v>
      </c>
      <c r="C356" s="44" t="s">
        <v>936</v>
      </c>
      <c r="D356" s="34">
        <v>12097</v>
      </c>
      <c r="E356" s="68" t="s">
        <v>937</v>
      </c>
      <c r="F356" s="69">
        <v>15504008400504</v>
      </c>
      <c r="G356" s="59" t="s">
        <v>36</v>
      </c>
      <c r="H356" s="60">
        <v>33130</v>
      </c>
      <c r="I356" s="61">
        <v>92363</v>
      </c>
      <c r="J356" s="44" t="s">
        <v>938</v>
      </c>
      <c r="K356" s="60">
        <f>4969.5+1325.2</f>
        <v>6294.7</v>
      </c>
      <c r="L356" s="60">
        <v>6294.7</v>
      </c>
      <c r="M356" s="60">
        <f>7156.2+1563.74</f>
        <v>8719.94</v>
      </c>
      <c r="N356" s="60">
        <f t="shared" si="10"/>
        <v>21309.34</v>
      </c>
      <c r="O356" s="62">
        <v>10000</v>
      </c>
      <c r="P356" s="60">
        <f t="shared" si="11"/>
        <v>31309.34</v>
      </c>
      <c r="Q356" s="44" t="s">
        <v>937</v>
      </c>
      <c r="R356" s="63">
        <v>44991</v>
      </c>
      <c r="S356" s="63">
        <v>45008</v>
      </c>
      <c r="T356" s="44"/>
      <c r="U356" s="44"/>
      <c r="V356" s="65"/>
      <c r="W356" s="65">
        <v>45029</v>
      </c>
      <c r="X356" s="44"/>
      <c r="Z356" s="44" t="s">
        <v>54</v>
      </c>
      <c r="AA356" s="63">
        <v>45061</v>
      </c>
    </row>
    <row r="357" spans="1:27">
      <c r="A357" s="44">
        <v>345</v>
      </c>
      <c r="B357" s="33" t="s">
        <v>939</v>
      </c>
      <c r="C357" s="44" t="s">
        <v>940</v>
      </c>
      <c r="D357" s="43" t="s">
        <v>941</v>
      </c>
      <c r="E357" s="45" t="s">
        <v>222</v>
      </c>
      <c r="F357" s="46">
        <v>15504004800333</v>
      </c>
      <c r="G357" s="47" t="s">
        <v>47</v>
      </c>
      <c r="H357" s="48">
        <v>6220</v>
      </c>
      <c r="I357" s="49">
        <v>222</v>
      </c>
      <c r="J357" s="43" t="s">
        <v>74</v>
      </c>
      <c r="K357" s="48">
        <v>684.2</v>
      </c>
      <c r="L357" s="48">
        <v>684.2</v>
      </c>
      <c r="M357" s="48">
        <v>920.5</v>
      </c>
      <c r="N357" s="48">
        <f t="shared" si="10"/>
        <v>2288.9</v>
      </c>
      <c r="O357" s="50">
        <v>10000</v>
      </c>
      <c r="P357" s="48">
        <f t="shared" si="11"/>
        <v>12288.9</v>
      </c>
      <c r="Q357" s="43" t="s">
        <v>222</v>
      </c>
      <c r="R357" s="51">
        <v>44984</v>
      </c>
      <c r="S357" s="51">
        <v>45009</v>
      </c>
      <c r="T357" s="43"/>
      <c r="U357" s="43"/>
      <c r="V357" s="52"/>
      <c r="W357" s="53">
        <v>45034</v>
      </c>
      <c r="X357" s="43"/>
      <c r="Y357" s="55" t="s">
        <v>54</v>
      </c>
      <c r="Z357" s="43"/>
      <c r="AA357" s="43"/>
    </row>
    <row r="358" spans="1:27" s="67" customFormat="1">
      <c r="A358" s="43">
        <v>346</v>
      </c>
      <c r="B358" s="56" t="s">
        <v>942</v>
      </c>
      <c r="C358" s="44" t="s">
        <v>943</v>
      </c>
      <c r="D358" s="70" t="s">
        <v>944</v>
      </c>
      <c r="E358" s="68" t="s">
        <v>215</v>
      </c>
      <c r="F358" s="69">
        <v>15504010103326</v>
      </c>
      <c r="G358" s="59" t="s">
        <v>68</v>
      </c>
      <c r="H358" s="60">
        <v>55580</v>
      </c>
      <c r="I358" s="61">
        <v>772</v>
      </c>
      <c r="J358" s="44" t="s">
        <v>37</v>
      </c>
      <c r="K358" s="60">
        <f>7781.2+2779</f>
        <v>10560.2</v>
      </c>
      <c r="L358" s="60">
        <v>10560.2</v>
      </c>
      <c r="M358" s="60">
        <f>11205.04+3468.22</f>
        <v>14673.26</v>
      </c>
      <c r="N358" s="60">
        <f t="shared" si="10"/>
        <v>35793.660000000003</v>
      </c>
      <c r="O358" s="62">
        <v>10000</v>
      </c>
      <c r="P358" s="60">
        <f t="shared" si="11"/>
        <v>45793.66</v>
      </c>
      <c r="Q358" s="44" t="s">
        <v>215</v>
      </c>
      <c r="R358" s="63">
        <v>44977</v>
      </c>
      <c r="S358" s="63">
        <v>45008</v>
      </c>
      <c r="T358" s="44"/>
      <c r="U358" s="44"/>
      <c r="V358" s="64"/>
      <c r="W358" s="65">
        <v>45020</v>
      </c>
      <c r="X358" s="44"/>
      <c r="Z358" s="44" t="s">
        <v>54</v>
      </c>
      <c r="AA358" s="44"/>
    </row>
    <row r="359" spans="1:27" s="67" customFormat="1">
      <c r="A359" s="44">
        <v>347</v>
      </c>
      <c r="B359" s="56" t="s">
        <v>942</v>
      </c>
      <c r="C359" s="44" t="s">
        <v>945</v>
      </c>
      <c r="D359" s="70" t="s">
        <v>944</v>
      </c>
      <c r="E359" s="68" t="s">
        <v>215</v>
      </c>
      <c r="F359" s="69">
        <v>15504010103330</v>
      </c>
      <c r="G359" s="59" t="s">
        <v>47</v>
      </c>
      <c r="H359" s="60">
        <v>9000</v>
      </c>
      <c r="I359" s="61">
        <v>125</v>
      </c>
      <c r="J359" s="44" t="s">
        <v>37</v>
      </c>
      <c r="K359" s="60">
        <f>1350+360</f>
        <v>1710</v>
      </c>
      <c r="L359" s="60">
        <v>1710</v>
      </c>
      <c r="M359" s="60">
        <f>1944+432</f>
        <v>2376</v>
      </c>
      <c r="N359" s="60">
        <f t="shared" si="10"/>
        <v>5796</v>
      </c>
      <c r="O359" s="62">
        <v>10000</v>
      </c>
      <c r="P359" s="60">
        <f t="shared" si="11"/>
        <v>15796</v>
      </c>
      <c r="Q359" s="44" t="s">
        <v>215</v>
      </c>
      <c r="R359" s="63">
        <v>44977</v>
      </c>
      <c r="S359" s="63">
        <v>45008</v>
      </c>
      <c r="T359" s="44"/>
      <c r="U359" s="44"/>
      <c r="V359" s="64"/>
      <c r="W359" s="65">
        <v>45020</v>
      </c>
      <c r="X359" s="44"/>
      <c r="Z359" s="44" t="s">
        <v>54</v>
      </c>
      <c r="AA359" s="44"/>
    </row>
    <row r="360" spans="1:27" s="67" customFormat="1">
      <c r="A360" s="44">
        <v>348</v>
      </c>
      <c r="B360" s="56" t="s">
        <v>942</v>
      </c>
      <c r="C360" s="44" t="s">
        <v>946</v>
      </c>
      <c r="D360" s="70" t="s">
        <v>944</v>
      </c>
      <c r="E360" s="68" t="s">
        <v>215</v>
      </c>
      <c r="F360" s="69">
        <v>15504010103329</v>
      </c>
      <c r="G360" s="59" t="s">
        <v>47</v>
      </c>
      <c r="H360" s="60">
        <v>5180</v>
      </c>
      <c r="I360" s="61">
        <v>72</v>
      </c>
      <c r="J360" s="44" t="s">
        <v>37</v>
      </c>
      <c r="K360" s="60">
        <f>777+207.2</f>
        <v>984.2</v>
      </c>
      <c r="L360" s="60">
        <v>984.2</v>
      </c>
      <c r="M360" s="60">
        <f>1119+248.66</f>
        <v>1367.66</v>
      </c>
      <c r="N360" s="60">
        <f t="shared" si="10"/>
        <v>3336.0600000000004</v>
      </c>
      <c r="O360" s="62">
        <v>10000</v>
      </c>
      <c r="P360" s="60">
        <f t="shared" si="11"/>
        <v>13336.060000000001</v>
      </c>
      <c r="Q360" s="44" t="s">
        <v>215</v>
      </c>
      <c r="R360" s="63">
        <v>44977</v>
      </c>
      <c r="S360" s="63">
        <v>45008</v>
      </c>
      <c r="T360" s="44"/>
      <c r="U360" s="44"/>
      <c r="V360" s="64"/>
      <c r="W360" s="65">
        <v>45020</v>
      </c>
      <c r="X360" s="44"/>
      <c r="Z360" s="44" t="s">
        <v>54</v>
      </c>
      <c r="AA360" s="44"/>
    </row>
    <row r="361" spans="1:27">
      <c r="A361" s="43">
        <v>349</v>
      </c>
      <c r="B361" s="33" t="s">
        <v>942</v>
      </c>
      <c r="C361" s="44" t="s">
        <v>947</v>
      </c>
      <c r="D361" s="43"/>
      <c r="E361" s="45" t="s">
        <v>215</v>
      </c>
      <c r="F361" s="46">
        <v>15504010103349</v>
      </c>
      <c r="G361" s="47" t="s">
        <v>157</v>
      </c>
      <c r="H361" s="48">
        <v>21030</v>
      </c>
      <c r="I361" s="49"/>
      <c r="J361" s="43" t="s">
        <v>37</v>
      </c>
      <c r="K361" s="48">
        <f>3154.5+841.2</f>
        <v>3995.7</v>
      </c>
      <c r="L361" s="48">
        <v>3995.7</v>
      </c>
      <c r="M361" s="48">
        <f>4542.6+1009.46</f>
        <v>5552.06</v>
      </c>
      <c r="N361" s="48">
        <f t="shared" si="10"/>
        <v>13543.46</v>
      </c>
      <c r="O361" s="50">
        <v>10000</v>
      </c>
      <c r="P361" s="48">
        <f t="shared" si="11"/>
        <v>23543.46</v>
      </c>
      <c r="Q361" s="43" t="s">
        <v>215</v>
      </c>
      <c r="R361" s="51">
        <v>44977</v>
      </c>
      <c r="S361" s="51">
        <v>45008</v>
      </c>
      <c r="T361" s="43"/>
      <c r="U361" s="43"/>
      <c r="V361" s="52"/>
      <c r="W361" s="53">
        <v>45020</v>
      </c>
      <c r="X361" s="43"/>
      <c r="Z361" s="43" t="s">
        <v>54</v>
      </c>
      <c r="AA361" s="43"/>
    </row>
    <row r="362" spans="1:27" s="67" customFormat="1">
      <c r="A362" s="44">
        <v>350</v>
      </c>
      <c r="B362" s="56" t="s">
        <v>948</v>
      </c>
      <c r="C362" s="44" t="s">
        <v>949</v>
      </c>
      <c r="D362" s="70" t="s">
        <v>950</v>
      </c>
      <c r="E362" s="68" t="s">
        <v>215</v>
      </c>
      <c r="F362" s="69">
        <v>15504010103327</v>
      </c>
      <c r="G362" s="59" t="s">
        <v>91</v>
      </c>
      <c r="H362" s="60">
        <v>10940</v>
      </c>
      <c r="I362" s="61">
        <v>152</v>
      </c>
      <c r="J362" s="44" t="s">
        <v>37</v>
      </c>
      <c r="K362" s="60">
        <f>1641+437.6</f>
        <v>2078.6</v>
      </c>
      <c r="L362" s="60">
        <v>2078.6</v>
      </c>
      <c r="M362" s="60">
        <f>2363.1+525.12</f>
        <v>2888.22</v>
      </c>
      <c r="N362" s="60">
        <f t="shared" si="10"/>
        <v>7045.42</v>
      </c>
      <c r="O362" s="62">
        <v>10000</v>
      </c>
      <c r="P362" s="60">
        <f t="shared" si="11"/>
        <v>17045.419999999998</v>
      </c>
      <c r="Q362" s="44" t="s">
        <v>215</v>
      </c>
      <c r="R362" s="63">
        <v>44977</v>
      </c>
      <c r="S362" s="63">
        <v>45008</v>
      </c>
      <c r="T362" s="44"/>
      <c r="U362" s="44"/>
      <c r="V362" s="64"/>
      <c r="W362" s="65">
        <v>45020</v>
      </c>
      <c r="X362" s="44"/>
      <c r="Z362" s="44" t="s">
        <v>54</v>
      </c>
      <c r="AA362" s="44"/>
    </row>
    <row r="363" spans="1:27" s="67" customFormat="1">
      <c r="A363" s="44">
        <v>351</v>
      </c>
      <c r="B363" s="56" t="s">
        <v>948</v>
      </c>
      <c r="C363" s="44" t="s">
        <v>951</v>
      </c>
      <c r="D363" s="70" t="s">
        <v>944</v>
      </c>
      <c r="E363" s="68" t="s">
        <v>215</v>
      </c>
      <c r="F363" s="69">
        <v>15504010103328</v>
      </c>
      <c r="G363" s="59" t="s">
        <v>91</v>
      </c>
      <c r="H363" s="60">
        <v>12380</v>
      </c>
      <c r="I363" s="61">
        <v>172</v>
      </c>
      <c r="J363" s="44" t="s">
        <v>37</v>
      </c>
      <c r="K363" s="60">
        <f>1857+495.2</f>
        <v>2352.1999999999998</v>
      </c>
      <c r="L363" s="60">
        <v>2352.1999999999998</v>
      </c>
      <c r="M363" s="60">
        <f>2674+20+594.26</f>
        <v>3288.26</v>
      </c>
      <c r="N363" s="60">
        <f t="shared" si="10"/>
        <v>7992.66</v>
      </c>
      <c r="O363" s="62">
        <v>10000</v>
      </c>
      <c r="P363" s="60">
        <f t="shared" si="11"/>
        <v>17992.66</v>
      </c>
      <c r="Q363" s="44" t="s">
        <v>215</v>
      </c>
      <c r="R363" s="63">
        <v>44977</v>
      </c>
      <c r="S363" s="63">
        <v>45008</v>
      </c>
      <c r="T363" s="44"/>
      <c r="U363" s="44"/>
      <c r="V363" s="64"/>
      <c r="W363" s="65">
        <v>45020</v>
      </c>
      <c r="X363" s="44"/>
      <c r="Z363" s="44" t="s">
        <v>54</v>
      </c>
      <c r="AA363" s="44"/>
    </row>
    <row r="364" spans="1:27" s="67" customFormat="1">
      <c r="A364" s="43">
        <v>352</v>
      </c>
      <c r="B364" s="56" t="s">
        <v>948</v>
      </c>
      <c r="C364" s="44" t="s">
        <v>952</v>
      </c>
      <c r="D364" s="70" t="s">
        <v>953</v>
      </c>
      <c r="E364" s="68" t="s">
        <v>215</v>
      </c>
      <c r="F364" s="69">
        <v>15504010103346</v>
      </c>
      <c r="G364" s="59" t="s">
        <v>47</v>
      </c>
      <c r="H364" s="60">
        <v>5110</v>
      </c>
      <c r="I364" s="61">
        <v>71</v>
      </c>
      <c r="J364" s="44" t="s">
        <v>37</v>
      </c>
      <c r="K364" s="60">
        <f>766.5+204.4</f>
        <v>970.9</v>
      </c>
      <c r="L364" s="60">
        <v>970.9</v>
      </c>
      <c r="M364" s="60">
        <f>1103.7+245.28</f>
        <v>1348.98</v>
      </c>
      <c r="N364" s="60">
        <f t="shared" si="10"/>
        <v>3290.7799999999997</v>
      </c>
      <c r="O364" s="62">
        <v>10000</v>
      </c>
      <c r="P364" s="60">
        <f t="shared" si="11"/>
        <v>13290.779999999999</v>
      </c>
      <c r="Q364" s="44" t="s">
        <v>215</v>
      </c>
      <c r="R364" s="63">
        <v>44977</v>
      </c>
      <c r="S364" s="63">
        <v>45008</v>
      </c>
      <c r="T364" s="44"/>
      <c r="U364" s="44"/>
      <c r="V364" s="64"/>
      <c r="W364" s="65">
        <v>45020</v>
      </c>
      <c r="X364" s="44"/>
      <c r="Z364" s="44" t="s">
        <v>54</v>
      </c>
      <c r="AA364" s="44"/>
    </row>
    <row r="365" spans="1:27" s="67" customFormat="1">
      <c r="A365" s="44">
        <v>353</v>
      </c>
      <c r="B365" s="56" t="s">
        <v>954</v>
      </c>
      <c r="C365" s="44" t="s">
        <v>955</v>
      </c>
      <c r="D365" s="70" t="s">
        <v>956</v>
      </c>
      <c r="E365" s="68" t="s">
        <v>79</v>
      </c>
      <c r="F365" s="69">
        <v>15504004901132</v>
      </c>
      <c r="G365" s="59" t="s">
        <v>47</v>
      </c>
      <c r="H365" s="60">
        <v>980</v>
      </c>
      <c r="I365" s="61">
        <v>35</v>
      </c>
      <c r="J365" s="44" t="s">
        <v>315</v>
      </c>
      <c r="K365" s="60">
        <v>39.200000000000003</v>
      </c>
      <c r="L365" s="60">
        <v>39.200000000000003</v>
      </c>
      <c r="M365" s="60">
        <v>46.26</v>
      </c>
      <c r="N365" s="60">
        <f t="shared" si="10"/>
        <v>124.66</v>
      </c>
      <c r="O365" s="62">
        <v>10000</v>
      </c>
      <c r="P365" s="60">
        <f t="shared" si="11"/>
        <v>10124.66</v>
      </c>
      <c r="Q365" s="44" t="s">
        <v>79</v>
      </c>
      <c r="R365" s="63">
        <v>44985</v>
      </c>
      <c r="S365" s="63">
        <v>45007</v>
      </c>
      <c r="T365" s="44"/>
      <c r="U365" s="44"/>
      <c r="V365" s="64"/>
      <c r="W365" s="65">
        <v>45028</v>
      </c>
      <c r="X365" s="44"/>
      <c r="Z365" s="44" t="s">
        <v>54</v>
      </c>
      <c r="AA365" s="44"/>
    </row>
    <row r="366" spans="1:27">
      <c r="A366" s="44">
        <v>354</v>
      </c>
      <c r="B366" s="33" t="s">
        <v>954</v>
      </c>
      <c r="C366" s="44" t="s">
        <v>957</v>
      </c>
      <c r="D366" s="43" t="s">
        <v>958</v>
      </c>
      <c r="E366" s="45" t="s">
        <v>79</v>
      </c>
      <c r="F366" s="46">
        <v>15504004901129</v>
      </c>
      <c r="G366" s="47" t="s">
        <v>36</v>
      </c>
      <c r="H366" s="48">
        <v>160</v>
      </c>
      <c r="I366" s="49">
        <v>200</v>
      </c>
      <c r="J366" s="43" t="s">
        <v>315</v>
      </c>
      <c r="K366" s="48">
        <v>6.4</v>
      </c>
      <c r="L366" s="48">
        <v>6.4</v>
      </c>
      <c r="M366" s="48">
        <v>7.54</v>
      </c>
      <c r="N366" s="48">
        <f t="shared" si="10"/>
        <v>20.34</v>
      </c>
      <c r="O366" s="50">
        <v>10000</v>
      </c>
      <c r="P366" s="48">
        <f t="shared" si="11"/>
        <v>10020.34</v>
      </c>
      <c r="Q366" s="43" t="s">
        <v>79</v>
      </c>
      <c r="R366" s="51">
        <v>44985</v>
      </c>
      <c r="S366" s="51">
        <v>45007</v>
      </c>
      <c r="T366" s="43"/>
      <c r="U366" s="43"/>
      <c r="V366" s="52"/>
      <c r="W366" s="53">
        <v>45028</v>
      </c>
      <c r="X366" s="43"/>
      <c r="Z366" s="43" t="s">
        <v>54</v>
      </c>
      <c r="AA366" s="43"/>
    </row>
    <row r="367" spans="1:27" s="67" customFormat="1">
      <c r="A367" s="43">
        <v>355</v>
      </c>
      <c r="B367" s="77" t="s">
        <v>959</v>
      </c>
      <c r="C367" s="44" t="s">
        <v>960</v>
      </c>
      <c r="D367" s="44" t="s">
        <v>961</v>
      </c>
      <c r="E367" s="68" t="s">
        <v>132</v>
      </c>
      <c r="F367" s="69">
        <v>15504006500902</v>
      </c>
      <c r="G367" s="59" t="s">
        <v>36</v>
      </c>
      <c r="H367" s="60">
        <v>19890</v>
      </c>
      <c r="I367" s="61">
        <v>37979</v>
      </c>
      <c r="J367" s="44" t="s">
        <v>42</v>
      </c>
      <c r="K367" s="60">
        <f>2983.5+596.7</f>
        <v>3580.2</v>
      </c>
      <c r="L367" s="60">
        <v>3580.2</v>
      </c>
      <c r="M367" s="60">
        <f>4296.3+652.4</f>
        <v>4948.7</v>
      </c>
      <c r="N367" s="60">
        <f t="shared" si="10"/>
        <v>12109.099999999999</v>
      </c>
      <c r="O367" s="62">
        <v>10000</v>
      </c>
      <c r="P367" s="60">
        <f t="shared" si="11"/>
        <v>22109.1</v>
      </c>
      <c r="Q367" s="44" t="s">
        <v>132</v>
      </c>
      <c r="R367" s="63">
        <v>44880</v>
      </c>
      <c r="S367" s="119"/>
      <c r="T367" s="63"/>
      <c r="U367" s="44"/>
      <c r="V367" s="64"/>
      <c r="W367" s="65">
        <v>45030</v>
      </c>
      <c r="X367" s="44"/>
      <c r="Z367" s="44" t="s">
        <v>54</v>
      </c>
      <c r="AA367" s="63">
        <v>45061</v>
      </c>
    </row>
    <row r="368" spans="1:27" s="67" customFormat="1">
      <c r="A368" s="44">
        <v>356</v>
      </c>
      <c r="B368" s="77" t="s">
        <v>959</v>
      </c>
      <c r="C368" s="44" t="s">
        <v>962</v>
      </c>
      <c r="D368" s="44">
        <v>20739</v>
      </c>
      <c r="E368" s="68" t="s">
        <v>307</v>
      </c>
      <c r="F368" s="69">
        <v>15504006600413</v>
      </c>
      <c r="G368" s="59" t="s">
        <v>36</v>
      </c>
      <c r="H368" s="60">
        <v>59410</v>
      </c>
      <c r="I368" s="61">
        <v>82497</v>
      </c>
      <c r="J368" s="44" t="s">
        <v>631</v>
      </c>
      <c r="K368" s="60">
        <f>8911.5+1188.2</f>
        <v>10099.700000000001</v>
      </c>
      <c r="L368" s="60">
        <v>10099.700000000001</v>
      </c>
      <c r="M368" s="60">
        <f>12832.5+1093.14</f>
        <v>13925.64</v>
      </c>
      <c r="N368" s="60">
        <f t="shared" si="10"/>
        <v>34125.040000000001</v>
      </c>
      <c r="O368" s="62">
        <v>10000</v>
      </c>
      <c r="P368" s="60">
        <f t="shared" si="11"/>
        <v>44125.04</v>
      </c>
      <c r="Q368" s="44" t="s">
        <v>307</v>
      </c>
      <c r="R368" s="63">
        <v>44970</v>
      </c>
      <c r="S368" s="63">
        <v>44879</v>
      </c>
      <c r="T368" s="63">
        <v>45000</v>
      </c>
      <c r="U368" s="44"/>
      <c r="V368" s="64"/>
      <c r="W368" s="65">
        <v>45019</v>
      </c>
      <c r="X368" s="44"/>
      <c r="Z368" s="44" t="s">
        <v>54</v>
      </c>
      <c r="AA368" s="63">
        <v>45061</v>
      </c>
    </row>
    <row r="369" spans="1:27" s="67" customFormat="1">
      <c r="A369" s="44">
        <v>357</v>
      </c>
      <c r="B369" s="77" t="s">
        <v>959</v>
      </c>
      <c r="C369" s="44" t="s">
        <v>963</v>
      </c>
      <c r="D369" s="44">
        <v>25361</v>
      </c>
      <c r="E369" s="68" t="s">
        <v>964</v>
      </c>
      <c r="F369" s="69">
        <v>15504001100323</v>
      </c>
      <c r="G369" s="59" t="s">
        <v>47</v>
      </c>
      <c r="H369" s="60">
        <v>5720</v>
      </c>
      <c r="I369" s="61">
        <v>54</v>
      </c>
      <c r="J369" s="44" t="s">
        <v>37</v>
      </c>
      <c r="K369" s="60">
        <v>1086.8</v>
      </c>
      <c r="L369" s="60">
        <v>1086.8</v>
      </c>
      <c r="M369" s="60">
        <v>1505.38</v>
      </c>
      <c r="N369" s="60">
        <f t="shared" si="10"/>
        <v>3678.98</v>
      </c>
      <c r="O369" s="62">
        <v>10000</v>
      </c>
      <c r="P369" s="60">
        <f t="shared" si="11"/>
        <v>13678.98</v>
      </c>
      <c r="Q369" s="44" t="s">
        <v>964</v>
      </c>
      <c r="R369" s="63">
        <v>44879</v>
      </c>
      <c r="S369" s="63">
        <v>45006</v>
      </c>
      <c r="T369" s="63"/>
      <c r="U369" s="44"/>
      <c r="V369" s="64"/>
      <c r="W369" s="65">
        <v>45040</v>
      </c>
      <c r="X369" s="44"/>
      <c r="Y369" s="67" t="s">
        <v>49</v>
      </c>
      <c r="Z369" s="63">
        <v>45061</v>
      </c>
      <c r="AA369" s="44"/>
    </row>
    <row r="370" spans="1:27" s="67" customFormat="1">
      <c r="A370" s="43">
        <v>358</v>
      </c>
      <c r="B370" s="77" t="s">
        <v>959</v>
      </c>
      <c r="C370" s="44" t="s">
        <v>965</v>
      </c>
      <c r="D370" s="44" t="s">
        <v>966</v>
      </c>
      <c r="E370" s="68" t="s">
        <v>125</v>
      </c>
      <c r="F370" s="69">
        <v>15504007100201</v>
      </c>
      <c r="G370" s="59" t="s">
        <v>36</v>
      </c>
      <c r="H370" s="60">
        <v>63040</v>
      </c>
      <c r="I370" s="61">
        <v>124128</v>
      </c>
      <c r="J370" s="44" t="s">
        <v>37</v>
      </c>
      <c r="K370" s="60">
        <v>11977.6</v>
      </c>
      <c r="L370" s="60">
        <v>11977.6</v>
      </c>
      <c r="M370" s="60">
        <v>16592.2</v>
      </c>
      <c r="N370" s="60">
        <f t="shared" si="10"/>
        <v>40547.4</v>
      </c>
      <c r="O370" s="62">
        <v>10000</v>
      </c>
      <c r="P370" s="60">
        <f t="shared" si="11"/>
        <v>50547.4</v>
      </c>
      <c r="Q370" s="44" t="s">
        <v>125</v>
      </c>
      <c r="R370" s="63">
        <v>44986</v>
      </c>
      <c r="S370" s="63">
        <v>44999</v>
      </c>
      <c r="T370" s="44"/>
      <c r="U370" s="44"/>
      <c r="V370" s="64"/>
      <c r="W370" s="65"/>
      <c r="X370" s="44"/>
      <c r="Z370" s="44"/>
      <c r="AA370" s="44"/>
    </row>
    <row r="371" spans="1:27" s="67" customFormat="1">
      <c r="A371" s="44">
        <v>359</v>
      </c>
      <c r="B371" s="77" t="s">
        <v>959</v>
      </c>
      <c r="C371" s="44" t="s">
        <v>967</v>
      </c>
      <c r="D371" s="44">
        <v>44562</v>
      </c>
      <c r="E371" s="68" t="s">
        <v>97</v>
      </c>
      <c r="F371" s="69">
        <v>15504009500705</v>
      </c>
      <c r="G371" s="59" t="s">
        <v>47</v>
      </c>
      <c r="H371" s="60">
        <v>55260</v>
      </c>
      <c r="I371" s="61">
        <v>614</v>
      </c>
      <c r="J371" s="44" t="s">
        <v>631</v>
      </c>
      <c r="K371" s="60">
        <v>9394.2000000000007</v>
      </c>
      <c r="L371" s="60">
        <v>9394.2000000000007</v>
      </c>
      <c r="M371" s="60">
        <v>12997.1</v>
      </c>
      <c r="N371" s="60">
        <f t="shared" si="10"/>
        <v>31785.5</v>
      </c>
      <c r="O371" s="62">
        <v>10000</v>
      </c>
      <c r="P371" s="60">
        <f t="shared" si="11"/>
        <v>41785.5</v>
      </c>
      <c r="Q371" s="44" t="s">
        <v>97</v>
      </c>
      <c r="R371" s="63">
        <v>44986</v>
      </c>
      <c r="S371" s="63">
        <v>45012</v>
      </c>
      <c r="T371" s="44"/>
      <c r="U371" s="44"/>
      <c r="V371" s="64"/>
      <c r="W371" s="65">
        <v>45043</v>
      </c>
      <c r="X371" s="44"/>
      <c r="Y371" s="67" t="s">
        <v>54</v>
      </c>
      <c r="Z371" s="63">
        <v>45065</v>
      </c>
      <c r="AA371" s="44"/>
    </row>
    <row r="372" spans="1:27" s="67" customFormat="1">
      <c r="A372" s="44">
        <v>360</v>
      </c>
      <c r="B372" s="77" t="s">
        <v>959</v>
      </c>
      <c r="C372" s="44" t="s">
        <v>968</v>
      </c>
      <c r="D372" s="44" t="s">
        <v>969</v>
      </c>
      <c r="E372" s="68" t="s">
        <v>135</v>
      </c>
      <c r="F372" s="69">
        <v>15504009600505</v>
      </c>
      <c r="G372" s="59" t="s">
        <v>36</v>
      </c>
      <c r="H372" s="60">
        <v>49620</v>
      </c>
      <c r="I372" s="61">
        <v>168296</v>
      </c>
      <c r="J372" s="44" t="s">
        <v>37</v>
      </c>
      <c r="K372" s="60">
        <v>9427.7999999999993</v>
      </c>
      <c r="L372" s="60">
        <v>9427.7999999999993</v>
      </c>
      <c r="M372" s="60">
        <v>13099.54</v>
      </c>
      <c r="N372" s="60">
        <f t="shared" si="10"/>
        <v>31955.14</v>
      </c>
      <c r="O372" s="62">
        <v>10000</v>
      </c>
      <c r="P372" s="60">
        <f t="shared" si="11"/>
        <v>41955.14</v>
      </c>
      <c r="Q372" s="44" t="s">
        <v>135</v>
      </c>
      <c r="R372" s="63">
        <v>44991</v>
      </c>
      <c r="S372" s="63">
        <v>45001</v>
      </c>
      <c r="T372" s="44"/>
      <c r="U372" s="44"/>
      <c r="V372" s="64"/>
      <c r="W372" s="65"/>
      <c r="X372" s="44"/>
      <c r="Y372" s="67" t="s">
        <v>54</v>
      </c>
      <c r="Z372" s="44"/>
      <c r="AA372" s="44"/>
    </row>
    <row r="373" spans="1:27" s="67" customFormat="1">
      <c r="A373" s="43">
        <v>361</v>
      </c>
      <c r="B373" s="77" t="s">
        <v>959</v>
      </c>
      <c r="C373" s="44" t="s">
        <v>970</v>
      </c>
      <c r="D373" s="44" t="s">
        <v>971</v>
      </c>
      <c r="E373" s="100" t="s">
        <v>211</v>
      </c>
      <c r="F373" s="69">
        <v>15504008300102</v>
      </c>
      <c r="G373" s="59" t="s">
        <v>36</v>
      </c>
      <c r="H373" s="60">
        <v>40230</v>
      </c>
      <c r="I373" s="61">
        <v>133149</v>
      </c>
      <c r="J373" s="44" t="s">
        <v>37</v>
      </c>
      <c r="K373" s="60">
        <v>7643.7</v>
      </c>
      <c r="L373" s="60">
        <v>7643.7</v>
      </c>
      <c r="M373" s="60">
        <v>10588.66</v>
      </c>
      <c r="N373" s="60">
        <f t="shared" si="10"/>
        <v>25876.059999999998</v>
      </c>
      <c r="O373" s="62">
        <v>10000</v>
      </c>
      <c r="P373" s="60">
        <f t="shared" si="11"/>
        <v>35876.06</v>
      </c>
      <c r="Q373" s="44" t="s">
        <v>211</v>
      </c>
      <c r="R373" s="63">
        <v>44986</v>
      </c>
      <c r="S373" s="63"/>
      <c r="T373" s="63"/>
      <c r="U373" s="44"/>
      <c r="V373" s="64"/>
      <c r="W373" s="65">
        <v>45040</v>
      </c>
      <c r="X373" s="44"/>
      <c r="Y373" s="67" t="s">
        <v>54</v>
      </c>
      <c r="Z373" s="44"/>
      <c r="AA373" s="44"/>
    </row>
    <row r="374" spans="1:27" s="67" customFormat="1">
      <c r="A374" s="44">
        <v>362</v>
      </c>
      <c r="B374" s="77" t="s">
        <v>959</v>
      </c>
      <c r="C374" s="44" t="s">
        <v>972</v>
      </c>
      <c r="D374" s="44" t="s">
        <v>973</v>
      </c>
      <c r="E374" s="100" t="s">
        <v>211</v>
      </c>
      <c r="F374" s="69">
        <v>15504008300505</v>
      </c>
      <c r="G374" s="59" t="s">
        <v>36</v>
      </c>
      <c r="H374" s="60">
        <v>99720</v>
      </c>
      <c r="I374" s="61">
        <v>199973</v>
      </c>
      <c r="J374" s="44" t="s">
        <v>37</v>
      </c>
      <c r="K374" s="60">
        <v>18946.8</v>
      </c>
      <c r="L374" s="60">
        <v>18946.8</v>
      </c>
      <c r="M374" s="60">
        <v>26246.18</v>
      </c>
      <c r="N374" s="60">
        <f t="shared" si="10"/>
        <v>64139.78</v>
      </c>
      <c r="O374" s="62">
        <v>10000</v>
      </c>
      <c r="P374" s="60">
        <f t="shared" si="11"/>
        <v>74139.78</v>
      </c>
      <c r="Q374" s="44" t="s">
        <v>211</v>
      </c>
      <c r="R374" s="63">
        <v>44986</v>
      </c>
      <c r="S374" s="63"/>
      <c r="T374" s="63"/>
      <c r="U374" s="44"/>
      <c r="V374" s="64"/>
      <c r="W374" s="65">
        <v>45040</v>
      </c>
      <c r="X374" s="44"/>
      <c r="Y374" s="67" t="s">
        <v>54</v>
      </c>
      <c r="Z374" s="44"/>
      <c r="AA374" s="44"/>
    </row>
    <row r="375" spans="1:27" s="67" customFormat="1">
      <c r="A375" s="44">
        <v>363</v>
      </c>
      <c r="B375" s="56" t="s">
        <v>974</v>
      </c>
      <c r="C375" s="44" t="s">
        <v>975</v>
      </c>
      <c r="D375" s="44" t="s">
        <v>976</v>
      </c>
      <c r="E375" s="100" t="s">
        <v>211</v>
      </c>
      <c r="F375" s="69">
        <v>15504007600823</v>
      </c>
      <c r="G375" s="59" t="s">
        <v>109</v>
      </c>
      <c r="H375" s="60">
        <v>17420</v>
      </c>
      <c r="I375" s="61">
        <v>242</v>
      </c>
      <c r="J375" s="44" t="s">
        <v>37</v>
      </c>
      <c r="K375" s="60">
        <v>3309.8</v>
      </c>
      <c r="L375" s="60">
        <v>3309.8</v>
      </c>
      <c r="M375" s="60">
        <v>4584.82</v>
      </c>
      <c r="N375" s="60">
        <f t="shared" si="10"/>
        <v>11204.42</v>
      </c>
      <c r="O375" s="62">
        <v>10000</v>
      </c>
      <c r="P375" s="60">
        <f t="shared" si="11"/>
        <v>21204.42</v>
      </c>
      <c r="Q375" s="44" t="s">
        <v>977</v>
      </c>
      <c r="R375" s="63">
        <v>45002</v>
      </c>
      <c r="S375" s="63">
        <v>45013</v>
      </c>
      <c r="T375" s="44"/>
      <c r="U375" s="44"/>
      <c r="V375" s="64"/>
      <c r="W375" s="65"/>
      <c r="X375" s="44"/>
      <c r="Z375" s="44"/>
      <c r="AA375" s="44"/>
    </row>
    <row r="376" spans="1:27" s="67" customFormat="1">
      <c r="A376" s="43">
        <v>364</v>
      </c>
      <c r="B376" s="56" t="s">
        <v>978</v>
      </c>
      <c r="C376" s="44" t="s">
        <v>979</v>
      </c>
      <c r="D376" s="44" t="s">
        <v>980</v>
      </c>
      <c r="E376" s="68" t="s">
        <v>79</v>
      </c>
      <c r="F376" s="69">
        <v>15504004900601</v>
      </c>
      <c r="G376" s="59" t="s">
        <v>981</v>
      </c>
      <c r="H376" s="60">
        <v>142630</v>
      </c>
      <c r="I376" s="61">
        <v>5094</v>
      </c>
      <c r="J376" s="44" t="s">
        <v>37</v>
      </c>
      <c r="K376" s="60">
        <v>27099.7</v>
      </c>
      <c r="L376" s="60">
        <v>27099.7</v>
      </c>
      <c r="M376" s="60">
        <v>37540.339999999997</v>
      </c>
      <c r="N376" s="60">
        <f t="shared" si="10"/>
        <v>91739.739999999991</v>
      </c>
      <c r="O376" s="62">
        <v>10000</v>
      </c>
      <c r="P376" s="60">
        <f t="shared" si="11"/>
        <v>101739.73999999999</v>
      </c>
      <c r="Q376" s="44" t="s">
        <v>79</v>
      </c>
      <c r="R376" s="63">
        <v>44985</v>
      </c>
      <c r="S376" s="119">
        <v>45006</v>
      </c>
      <c r="T376" s="44"/>
      <c r="U376" s="44"/>
      <c r="V376" s="64"/>
      <c r="W376" s="65">
        <v>45041</v>
      </c>
      <c r="X376" s="44"/>
      <c r="Y376" s="67" t="s">
        <v>54</v>
      </c>
      <c r="Z376" s="44"/>
      <c r="AA376" s="44"/>
    </row>
    <row r="377" spans="1:27" s="67" customFormat="1" ht="33.75">
      <c r="A377" s="44">
        <v>365</v>
      </c>
      <c r="B377" s="56" t="s">
        <v>978</v>
      </c>
      <c r="C377" s="44" t="s">
        <v>982</v>
      </c>
      <c r="D377" s="44" t="s">
        <v>980</v>
      </c>
      <c r="E377" s="68" t="s">
        <v>79</v>
      </c>
      <c r="F377" s="69">
        <v>15504004900718</v>
      </c>
      <c r="G377" s="101" t="s">
        <v>983</v>
      </c>
      <c r="H377" s="60">
        <v>12880</v>
      </c>
      <c r="I377" s="61">
        <v>460</v>
      </c>
      <c r="J377" s="44" t="s">
        <v>37</v>
      </c>
      <c r="K377" s="60">
        <v>2447.1999999999998</v>
      </c>
      <c r="L377" s="60">
        <v>2447.1999999999998</v>
      </c>
      <c r="M377" s="60">
        <v>3390.14</v>
      </c>
      <c r="N377" s="60">
        <f t="shared" si="10"/>
        <v>8284.5399999999991</v>
      </c>
      <c r="O377" s="62">
        <v>10000</v>
      </c>
      <c r="P377" s="60">
        <f t="shared" si="11"/>
        <v>18284.54</v>
      </c>
      <c r="Q377" s="44" t="s">
        <v>79</v>
      </c>
      <c r="R377" s="63">
        <v>44985</v>
      </c>
      <c r="S377" s="119">
        <v>45006</v>
      </c>
      <c r="T377" s="44"/>
      <c r="U377" s="44"/>
      <c r="V377" s="64"/>
      <c r="W377" s="65">
        <v>45041</v>
      </c>
      <c r="X377" s="44"/>
      <c r="Y377" s="67" t="s">
        <v>54</v>
      </c>
      <c r="Z377" s="44"/>
      <c r="AA377" s="44"/>
    </row>
    <row r="378" spans="1:27">
      <c r="A378" s="44">
        <v>366</v>
      </c>
      <c r="B378" s="33" t="s">
        <v>978</v>
      </c>
      <c r="C378" s="44" t="s">
        <v>984</v>
      </c>
      <c r="D378" s="43" t="s">
        <v>980</v>
      </c>
      <c r="E378" s="45" t="s">
        <v>79</v>
      </c>
      <c r="F378" s="46">
        <v>15504004900838</v>
      </c>
      <c r="G378" s="47" t="s">
        <v>36</v>
      </c>
      <c r="H378" s="48">
        <v>1580</v>
      </c>
      <c r="I378" s="49">
        <v>2393</v>
      </c>
      <c r="J378" s="43" t="s">
        <v>37</v>
      </c>
      <c r="K378" s="48">
        <v>300.2</v>
      </c>
      <c r="L378" s="48">
        <v>300.2</v>
      </c>
      <c r="M378" s="48">
        <v>414.72</v>
      </c>
      <c r="N378" s="48">
        <f t="shared" si="10"/>
        <v>1015.12</v>
      </c>
      <c r="O378" s="50">
        <v>10000</v>
      </c>
      <c r="P378" s="48">
        <f t="shared" si="11"/>
        <v>11015.12</v>
      </c>
      <c r="Q378" s="43" t="s">
        <v>79</v>
      </c>
      <c r="R378" s="51">
        <v>44985</v>
      </c>
      <c r="S378" s="51">
        <v>45006</v>
      </c>
      <c r="T378" s="43"/>
      <c r="U378" s="43"/>
      <c r="V378" s="52"/>
      <c r="W378" s="53">
        <v>45041</v>
      </c>
      <c r="X378" s="43"/>
      <c r="Y378" s="55" t="s">
        <v>54</v>
      </c>
      <c r="Z378" s="43"/>
      <c r="AA378" s="43"/>
    </row>
    <row r="379" spans="1:27">
      <c r="A379" s="43">
        <v>367</v>
      </c>
      <c r="B379" s="33" t="s">
        <v>978</v>
      </c>
      <c r="C379" s="44" t="s">
        <v>985</v>
      </c>
      <c r="D379" s="43" t="s">
        <v>980</v>
      </c>
      <c r="E379" s="45" t="s">
        <v>79</v>
      </c>
      <c r="F379" s="46">
        <v>15504004900832</v>
      </c>
      <c r="G379" s="47" t="s">
        <v>36</v>
      </c>
      <c r="H379" s="48">
        <v>7830</v>
      </c>
      <c r="I379" s="49">
        <v>11170</v>
      </c>
      <c r="J379" s="43" t="s">
        <v>37</v>
      </c>
      <c r="K379" s="48">
        <v>1487.7</v>
      </c>
      <c r="L379" s="48">
        <v>1487.7</v>
      </c>
      <c r="M379" s="48">
        <v>2060.98</v>
      </c>
      <c r="N379" s="48">
        <f t="shared" si="10"/>
        <v>5036.38</v>
      </c>
      <c r="O379" s="50">
        <v>10000</v>
      </c>
      <c r="P379" s="48">
        <f t="shared" si="11"/>
        <v>15036.380000000001</v>
      </c>
      <c r="Q379" s="43" t="s">
        <v>79</v>
      </c>
      <c r="R379" s="51">
        <v>44985</v>
      </c>
      <c r="S379" s="51">
        <v>45006</v>
      </c>
      <c r="T379" s="43"/>
      <c r="U379" s="43"/>
      <c r="V379" s="52"/>
      <c r="W379" s="53">
        <v>45041</v>
      </c>
      <c r="X379" s="43"/>
      <c r="Y379" s="55" t="s">
        <v>54</v>
      </c>
      <c r="Z379" s="43"/>
      <c r="AA379" s="43"/>
    </row>
    <row r="380" spans="1:27">
      <c r="A380" s="44">
        <v>368</v>
      </c>
      <c r="B380" s="33" t="s">
        <v>978</v>
      </c>
      <c r="C380" s="44" t="s">
        <v>986</v>
      </c>
      <c r="D380" s="43" t="s">
        <v>980</v>
      </c>
      <c r="E380" s="45" t="s">
        <v>79</v>
      </c>
      <c r="F380" s="46">
        <v>15504004900720</v>
      </c>
      <c r="G380" s="47" t="s">
        <v>47</v>
      </c>
      <c r="H380" s="48">
        <v>2320</v>
      </c>
      <c r="I380" s="49">
        <v>83</v>
      </c>
      <c r="J380" s="43" t="s">
        <v>37</v>
      </c>
      <c r="K380" s="48">
        <v>440.8</v>
      </c>
      <c r="L380" s="48">
        <v>440.8</v>
      </c>
      <c r="M380" s="48">
        <v>610.5</v>
      </c>
      <c r="N380" s="48">
        <f t="shared" si="10"/>
        <v>1492.1</v>
      </c>
      <c r="O380" s="50">
        <v>10000</v>
      </c>
      <c r="P380" s="48">
        <f t="shared" si="11"/>
        <v>11492.1</v>
      </c>
      <c r="Q380" s="43" t="s">
        <v>79</v>
      </c>
      <c r="R380" s="51">
        <v>44985</v>
      </c>
      <c r="S380" s="51">
        <v>45006</v>
      </c>
      <c r="T380" s="43"/>
      <c r="U380" s="43"/>
      <c r="V380" s="52"/>
      <c r="W380" s="53">
        <v>45041</v>
      </c>
      <c r="X380" s="43"/>
      <c r="Y380" s="55" t="s">
        <v>54</v>
      </c>
      <c r="Z380" s="43"/>
      <c r="AA380" s="43"/>
    </row>
    <row r="381" spans="1:27">
      <c r="A381" s="44">
        <v>369</v>
      </c>
      <c r="B381" s="33" t="s">
        <v>987</v>
      </c>
      <c r="C381" s="44" t="s">
        <v>988</v>
      </c>
      <c r="D381" s="43">
        <v>4668</v>
      </c>
      <c r="E381" s="45" t="s">
        <v>132</v>
      </c>
      <c r="F381" s="46">
        <v>15504006500216</v>
      </c>
      <c r="G381" s="47" t="s">
        <v>36</v>
      </c>
      <c r="H381" s="48">
        <v>25440</v>
      </c>
      <c r="I381" s="49">
        <v>44961</v>
      </c>
      <c r="J381" s="43" t="s">
        <v>37</v>
      </c>
      <c r="K381" s="48">
        <f>3816+1017.6</f>
        <v>4833.6000000000004</v>
      </c>
      <c r="L381" s="48">
        <v>4833.6000000000004</v>
      </c>
      <c r="M381" s="48">
        <f>5495.1+1200.78</f>
        <v>6695.88</v>
      </c>
      <c r="N381" s="48">
        <f t="shared" si="10"/>
        <v>16363.080000000002</v>
      </c>
      <c r="O381" s="50">
        <v>10000</v>
      </c>
      <c r="P381" s="48">
        <f t="shared" si="11"/>
        <v>26363.08</v>
      </c>
      <c r="Q381" s="43" t="s">
        <v>132</v>
      </c>
      <c r="R381" s="51">
        <v>45000</v>
      </c>
      <c r="S381" s="51">
        <v>44880</v>
      </c>
      <c r="T381" s="51"/>
      <c r="U381" s="43"/>
      <c r="V381" s="52"/>
      <c r="W381" s="53">
        <v>45030</v>
      </c>
      <c r="X381" s="43"/>
      <c r="Z381" s="43" t="s">
        <v>54</v>
      </c>
      <c r="AA381" s="51">
        <v>45058</v>
      </c>
    </row>
    <row r="382" spans="1:27">
      <c r="A382" s="43">
        <v>370</v>
      </c>
      <c r="B382" s="33" t="s">
        <v>987</v>
      </c>
      <c r="C382" s="44" t="s">
        <v>989</v>
      </c>
      <c r="D382" s="43">
        <v>2919</v>
      </c>
      <c r="E382" s="45" t="s">
        <v>132</v>
      </c>
      <c r="F382" s="46">
        <v>15504003700215</v>
      </c>
      <c r="G382" s="47" t="s">
        <v>36</v>
      </c>
      <c r="H382" s="48">
        <v>26030</v>
      </c>
      <c r="I382" s="49">
        <v>46001</v>
      </c>
      <c r="J382" s="43" t="s">
        <v>37</v>
      </c>
      <c r="K382" s="48">
        <f>3904.5+1041.2</f>
        <v>4945.7</v>
      </c>
      <c r="L382" s="48">
        <v>4945.7</v>
      </c>
      <c r="M382" s="48">
        <f>5622.6+1228.62</f>
        <v>6851.22</v>
      </c>
      <c r="N382" s="48">
        <f t="shared" si="10"/>
        <v>16742.62</v>
      </c>
      <c r="O382" s="50">
        <v>10000</v>
      </c>
      <c r="P382" s="48">
        <f t="shared" si="11"/>
        <v>26742.62</v>
      </c>
      <c r="Q382" s="43" t="s">
        <v>132</v>
      </c>
      <c r="R382" s="51">
        <v>44880</v>
      </c>
      <c r="S382" s="51"/>
      <c r="T382" s="51"/>
      <c r="U382" s="43"/>
      <c r="V382" s="52"/>
      <c r="W382" s="53">
        <v>45030</v>
      </c>
      <c r="X382" s="43"/>
      <c r="Z382" s="43" t="s">
        <v>54</v>
      </c>
      <c r="AA382" s="51">
        <v>45058</v>
      </c>
    </row>
    <row r="383" spans="1:27">
      <c r="A383" s="44">
        <v>371</v>
      </c>
      <c r="B383" s="33" t="s">
        <v>987</v>
      </c>
      <c r="C383" s="44" t="s">
        <v>990</v>
      </c>
      <c r="D383" s="43" t="s">
        <v>991</v>
      </c>
      <c r="E383" s="45" t="s">
        <v>132</v>
      </c>
      <c r="F383" s="46">
        <v>15504006500605</v>
      </c>
      <c r="G383" s="47" t="s">
        <v>36</v>
      </c>
      <c r="H383" s="48">
        <v>27940</v>
      </c>
      <c r="I383" s="49">
        <v>47182</v>
      </c>
      <c r="J383" s="43" t="s">
        <v>37</v>
      </c>
      <c r="K383" s="48">
        <f>4191+1117.6</f>
        <v>5308.6</v>
      </c>
      <c r="L383" s="48">
        <v>5308.6</v>
      </c>
      <c r="M383" s="48">
        <f>6035.1+1318.78</f>
        <v>7353.88</v>
      </c>
      <c r="N383" s="48">
        <f t="shared" si="10"/>
        <v>17971.080000000002</v>
      </c>
      <c r="O383" s="50">
        <v>10000</v>
      </c>
      <c r="P383" s="48">
        <f t="shared" si="11"/>
        <v>27971.08</v>
      </c>
      <c r="Q383" s="43" t="s">
        <v>132</v>
      </c>
      <c r="R383" s="51">
        <v>45000</v>
      </c>
      <c r="S383" s="51">
        <v>44880</v>
      </c>
      <c r="T383" s="51"/>
      <c r="U383" s="43"/>
      <c r="V383" s="52"/>
      <c r="W383" s="53">
        <v>45030</v>
      </c>
      <c r="X383" s="43"/>
      <c r="Z383" s="43" t="s">
        <v>54</v>
      </c>
      <c r="AA383" s="51">
        <v>45058</v>
      </c>
    </row>
    <row r="384" spans="1:27">
      <c r="A384" s="44">
        <v>372</v>
      </c>
      <c r="B384" s="33" t="s">
        <v>987</v>
      </c>
      <c r="C384" s="44" t="s">
        <v>992</v>
      </c>
      <c r="D384" s="43" t="s">
        <v>993</v>
      </c>
      <c r="E384" s="45" t="s">
        <v>132</v>
      </c>
      <c r="F384" s="46">
        <v>15504006500812</v>
      </c>
      <c r="G384" s="47" t="s">
        <v>36</v>
      </c>
      <c r="H384" s="48">
        <v>41300</v>
      </c>
      <c r="I384" s="49">
        <v>63809</v>
      </c>
      <c r="J384" s="43" t="s">
        <v>37</v>
      </c>
      <c r="K384" s="48">
        <f>6195+1652</f>
        <v>7847</v>
      </c>
      <c r="L384" s="48">
        <v>7847</v>
      </c>
      <c r="M384" s="48">
        <f>8920.8+1949.36</f>
        <v>10870.16</v>
      </c>
      <c r="N384" s="48">
        <f t="shared" si="10"/>
        <v>26564.16</v>
      </c>
      <c r="O384" s="50">
        <v>10000</v>
      </c>
      <c r="P384" s="48">
        <f t="shared" si="11"/>
        <v>36564.160000000003</v>
      </c>
      <c r="Q384" s="43" t="s">
        <v>132</v>
      </c>
      <c r="R384" s="51">
        <v>44991</v>
      </c>
      <c r="S384" s="51">
        <v>44880</v>
      </c>
      <c r="T384" s="51">
        <v>45001</v>
      </c>
      <c r="U384" s="43"/>
      <c r="V384" s="52"/>
      <c r="W384" s="53">
        <v>45030</v>
      </c>
      <c r="X384" s="43"/>
      <c r="Z384" s="43" t="s">
        <v>54</v>
      </c>
      <c r="AA384" s="51">
        <v>45058</v>
      </c>
    </row>
    <row r="385" spans="1:27">
      <c r="A385" s="43">
        <v>373</v>
      </c>
      <c r="B385" s="33" t="s">
        <v>987</v>
      </c>
      <c r="C385" s="44" t="s">
        <v>994</v>
      </c>
      <c r="D385" s="43">
        <v>4132</v>
      </c>
      <c r="E385" s="45" t="s">
        <v>132</v>
      </c>
      <c r="F385" s="46">
        <v>15504006501213</v>
      </c>
      <c r="G385" s="47" t="s">
        <v>36</v>
      </c>
      <c r="H385" s="48">
        <v>24200</v>
      </c>
      <c r="I385" s="49">
        <v>42766</v>
      </c>
      <c r="J385" s="43" t="s">
        <v>37</v>
      </c>
      <c r="K385" s="48">
        <f>3630+968</f>
        <v>4598</v>
      </c>
      <c r="L385" s="48">
        <v>4598</v>
      </c>
      <c r="M385" s="48">
        <f>5227.2+1142.24</f>
        <v>6369.44</v>
      </c>
      <c r="N385" s="48">
        <f t="shared" si="10"/>
        <v>15565.439999999999</v>
      </c>
      <c r="O385" s="50">
        <v>10000</v>
      </c>
      <c r="P385" s="48">
        <f t="shared" si="11"/>
        <v>25565.439999999999</v>
      </c>
      <c r="Q385" s="43" t="s">
        <v>132</v>
      </c>
      <c r="R385" s="51">
        <v>45000</v>
      </c>
      <c r="S385" s="51">
        <v>44880</v>
      </c>
      <c r="T385" s="51"/>
      <c r="U385" s="43"/>
      <c r="V385" s="52"/>
      <c r="W385" s="53">
        <v>45030</v>
      </c>
      <c r="X385" s="43"/>
      <c r="Z385" s="43" t="s">
        <v>54</v>
      </c>
      <c r="AA385" s="51">
        <v>45058</v>
      </c>
    </row>
    <row r="386" spans="1:27">
      <c r="A386" s="44">
        <v>374</v>
      </c>
      <c r="B386" s="33" t="s">
        <v>987</v>
      </c>
      <c r="C386" s="44" t="s">
        <v>995</v>
      </c>
      <c r="D386" s="43">
        <v>4473</v>
      </c>
      <c r="E386" s="45" t="s">
        <v>132</v>
      </c>
      <c r="F386" s="46">
        <v>15504006500706</v>
      </c>
      <c r="G386" s="47" t="s">
        <v>36</v>
      </c>
      <c r="H386" s="48">
        <v>17230</v>
      </c>
      <c r="I386" s="49">
        <v>30452</v>
      </c>
      <c r="J386" s="43" t="s">
        <v>37</v>
      </c>
      <c r="K386" s="48">
        <f>2584.5+689.2</f>
        <v>3273.7</v>
      </c>
      <c r="L386" s="48">
        <v>3273.7</v>
      </c>
      <c r="M386" s="48">
        <f>3721.8+813.26</f>
        <v>4535.0600000000004</v>
      </c>
      <c r="N386" s="48">
        <f t="shared" si="10"/>
        <v>11082.46</v>
      </c>
      <c r="O386" s="50">
        <v>10000</v>
      </c>
      <c r="P386" s="48">
        <f t="shared" si="11"/>
        <v>21082.46</v>
      </c>
      <c r="Q386" s="43" t="s">
        <v>132</v>
      </c>
      <c r="R386" s="51">
        <v>45000</v>
      </c>
      <c r="S386" s="51">
        <v>44880</v>
      </c>
      <c r="T386" s="51"/>
      <c r="U386" s="43"/>
      <c r="V386" s="52"/>
      <c r="W386" s="53">
        <v>45030</v>
      </c>
      <c r="X386" s="43"/>
      <c r="Z386" s="43" t="s">
        <v>54</v>
      </c>
      <c r="AA386" s="51">
        <v>45058</v>
      </c>
    </row>
    <row r="387" spans="1:27">
      <c r="A387" s="44">
        <v>375</v>
      </c>
      <c r="B387" s="33" t="s">
        <v>996</v>
      </c>
      <c r="C387" s="44" t="s">
        <v>997</v>
      </c>
      <c r="D387" s="43" t="s">
        <v>998</v>
      </c>
      <c r="E387" s="45" t="s">
        <v>132</v>
      </c>
      <c r="F387" s="46">
        <v>15504006500108</v>
      </c>
      <c r="G387" s="47" t="s">
        <v>36</v>
      </c>
      <c r="H387" s="48">
        <v>30320</v>
      </c>
      <c r="I387" s="49">
        <v>52353</v>
      </c>
      <c r="J387" s="43" t="s">
        <v>42</v>
      </c>
      <c r="K387" s="48">
        <f>4548+909.6</f>
        <v>5457.6</v>
      </c>
      <c r="L387" s="48">
        <f>4548+909.6</f>
        <v>5457.6</v>
      </c>
      <c r="M387" s="48">
        <f>6549+945.98</f>
        <v>7494.98</v>
      </c>
      <c r="N387" s="48">
        <f t="shared" si="10"/>
        <v>18410.18</v>
      </c>
      <c r="O387" s="50">
        <v>10000</v>
      </c>
      <c r="P387" s="48">
        <f t="shared" si="11"/>
        <v>28410.18</v>
      </c>
      <c r="Q387" s="43" t="s">
        <v>132</v>
      </c>
      <c r="R387" s="51">
        <v>45000</v>
      </c>
      <c r="S387" s="51">
        <v>44880</v>
      </c>
      <c r="T387" s="51"/>
      <c r="U387" s="43"/>
      <c r="V387" s="52"/>
      <c r="W387" s="53">
        <v>45030</v>
      </c>
      <c r="X387" s="43"/>
      <c r="Z387" s="43" t="s">
        <v>54</v>
      </c>
      <c r="AA387" s="51">
        <v>45058</v>
      </c>
    </row>
    <row r="388" spans="1:27">
      <c r="A388" s="43">
        <v>376</v>
      </c>
      <c r="B388" s="33" t="s">
        <v>996</v>
      </c>
      <c r="C388" s="44" t="s">
        <v>999</v>
      </c>
      <c r="D388" s="43" t="s">
        <v>1000</v>
      </c>
      <c r="E388" s="45" t="s">
        <v>132</v>
      </c>
      <c r="F388" s="46">
        <v>15504006500809</v>
      </c>
      <c r="G388" s="47" t="s">
        <v>36</v>
      </c>
      <c r="H388" s="48">
        <v>22840</v>
      </c>
      <c r="I388" s="49">
        <v>37709</v>
      </c>
      <c r="J388" s="43" t="s">
        <v>42</v>
      </c>
      <c r="K388" s="48">
        <f>3426+685.2</f>
        <v>4111.2</v>
      </c>
      <c r="L388" s="48">
        <v>4111.2</v>
      </c>
      <c r="M388" s="48">
        <f>4933.5+712.62</f>
        <v>5646.12</v>
      </c>
      <c r="N388" s="48">
        <f t="shared" si="10"/>
        <v>13868.52</v>
      </c>
      <c r="O388" s="50">
        <v>10000</v>
      </c>
      <c r="P388" s="48">
        <f t="shared" si="11"/>
        <v>23868.52</v>
      </c>
      <c r="Q388" s="43" t="s">
        <v>132</v>
      </c>
      <c r="R388" s="51">
        <v>45000</v>
      </c>
      <c r="S388" s="51">
        <v>44880</v>
      </c>
      <c r="T388" s="51"/>
      <c r="U388" s="43"/>
      <c r="V388" s="52"/>
      <c r="W388" s="53">
        <v>45030</v>
      </c>
      <c r="X388" s="43"/>
      <c r="Z388" s="43" t="s">
        <v>54</v>
      </c>
      <c r="AA388" s="51">
        <v>45058</v>
      </c>
    </row>
    <row r="389" spans="1:27" s="67" customFormat="1">
      <c r="A389" s="44">
        <v>377</v>
      </c>
      <c r="B389" s="56" t="s">
        <v>1001</v>
      </c>
      <c r="C389" s="44" t="s">
        <v>1002</v>
      </c>
      <c r="D389" s="44" t="s">
        <v>1003</v>
      </c>
      <c r="E389" s="100" t="s">
        <v>165</v>
      </c>
      <c r="F389" s="69">
        <v>15504002900312</v>
      </c>
      <c r="G389" s="44" t="s">
        <v>888</v>
      </c>
      <c r="H389" s="60">
        <v>418780</v>
      </c>
      <c r="I389" s="44">
        <v>9971</v>
      </c>
      <c r="J389" s="44" t="s">
        <v>37</v>
      </c>
      <c r="K389" s="60">
        <f>62817+16751.2</f>
        <v>79568.2</v>
      </c>
      <c r="L389" s="60">
        <v>79568.2</v>
      </c>
      <c r="M389" s="60">
        <f>90456.6+19766.42</f>
        <v>110223.02</v>
      </c>
      <c r="N389" s="60">
        <f t="shared" si="10"/>
        <v>269359.42</v>
      </c>
      <c r="O389" s="62">
        <v>10000</v>
      </c>
      <c r="P389" s="60">
        <f t="shared" si="11"/>
        <v>279359.42</v>
      </c>
      <c r="Q389" s="44" t="s">
        <v>165</v>
      </c>
      <c r="R389" s="63">
        <v>44959</v>
      </c>
      <c r="S389" s="63">
        <v>45007</v>
      </c>
      <c r="T389" s="44"/>
      <c r="U389" s="44"/>
      <c r="V389" s="64"/>
      <c r="W389" s="65">
        <v>45019</v>
      </c>
      <c r="X389" s="44"/>
      <c r="Z389" s="44" t="s">
        <v>49</v>
      </c>
      <c r="AA389" s="44"/>
    </row>
    <row r="390" spans="1:27">
      <c r="A390" s="44">
        <v>378</v>
      </c>
      <c r="B390" s="33" t="s">
        <v>1004</v>
      </c>
      <c r="C390" s="44" t="s">
        <v>1005</v>
      </c>
      <c r="D390" s="43">
        <v>16308</v>
      </c>
      <c r="E390" s="81" t="s">
        <v>135</v>
      </c>
      <c r="F390" s="46">
        <v>15504009600304</v>
      </c>
      <c r="G390" s="47" t="s">
        <v>36</v>
      </c>
      <c r="H390" s="48">
        <v>57600</v>
      </c>
      <c r="I390" s="49">
        <v>81131</v>
      </c>
      <c r="J390" s="43" t="s">
        <v>37</v>
      </c>
      <c r="K390" s="48">
        <v>10944</v>
      </c>
      <c r="L390" s="48">
        <v>10944</v>
      </c>
      <c r="M390" s="48">
        <v>15206.4</v>
      </c>
      <c r="N390" s="48">
        <f t="shared" si="10"/>
        <v>37094.400000000001</v>
      </c>
      <c r="O390" s="50">
        <v>10000</v>
      </c>
      <c r="P390" s="48">
        <f t="shared" si="11"/>
        <v>47094.400000000001</v>
      </c>
      <c r="Q390" s="43" t="s">
        <v>135</v>
      </c>
      <c r="R390" s="51">
        <v>44991</v>
      </c>
      <c r="S390" s="51">
        <v>44888</v>
      </c>
      <c r="T390" s="51">
        <v>45001</v>
      </c>
      <c r="U390" s="43"/>
      <c r="V390" s="52"/>
      <c r="W390" s="53"/>
      <c r="X390" s="43"/>
      <c r="Y390" s="55" t="s">
        <v>54</v>
      </c>
      <c r="Z390" s="43"/>
      <c r="AA390" s="43"/>
    </row>
    <row r="391" spans="1:27">
      <c r="A391" s="43">
        <v>379</v>
      </c>
      <c r="B391" s="33" t="s">
        <v>1006</v>
      </c>
      <c r="C391" s="44" t="s">
        <v>1007</v>
      </c>
      <c r="D391" s="43">
        <v>5201</v>
      </c>
      <c r="E391" s="81" t="s">
        <v>135</v>
      </c>
      <c r="F391" s="46">
        <v>15504009600216</v>
      </c>
      <c r="G391" s="47" t="s">
        <v>36</v>
      </c>
      <c r="H391" s="48">
        <v>17980</v>
      </c>
      <c r="I391" s="49">
        <v>42282</v>
      </c>
      <c r="J391" s="43" t="s">
        <v>37</v>
      </c>
      <c r="K391" s="48">
        <v>3416.2</v>
      </c>
      <c r="L391" s="48">
        <v>3416.2</v>
      </c>
      <c r="M391" s="48">
        <v>4746.8599999999997</v>
      </c>
      <c r="N391" s="48">
        <f t="shared" si="10"/>
        <v>11579.259999999998</v>
      </c>
      <c r="O391" s="50">
        <v>10000</v>
      </c>
      <c r="P391" s="48">
        <f t="shared" si="11"/>
        <v>21579.26</v>
      </c>
      <c r="Q391" s="43" t="s">
        <v>135</v>
      </c>
      <c r="R391" s="51">
        <v>45002</v>
      </c>
      <c r="S391" s="43"/>
      <c r="T391" s="43"/>
      <c r="U391" s="43"/>
      <c r="V391" s="52"/>
      <c r="W391" s="53"/>
      <c r="X391" s="43"/>
      <c r="Y391" s="55" t="s">
        <v>54</v>
      </c>
      <c r="Z391" s="51">
        <v>45065</v>
      </c>
      <c r="AA391" s="43"/>
    </row>
    <row r="392" spans="1:27" s="67" customFormat="1" ht="22.5">
      <c r="A392" s="44">
        <v>380</v>
      </c>
      <c r="B392" s="56" t="s">
        <v>1008</v>
      </c>
      <c r="C392" s="44" t="s">
        <v>1009</v>
      </c>
      <c r="D392" s="117" t="s">
        <v>1010</v>
      </c>
      <c r="E392" s="100" t="s">
        <v>161</v>
      </c>
      <c r="F392" s="69">
        <v>15504004700704</v>
      </c>
      <c r="G392" s="59" t="s">
        <v>47</v>
      </c>
      <c r="H392" s="60">
        <v>68670</v>
      </c>
      <c r="I392" s="61">
        <v>763</v>
      </c>
      <c r="J392" s="44" t="s">
        <v>128</v>
      </c>
      <c r="K392" s="78">
        <v>8240.4</v>
      </c>
      <c r="L392" s="78">
        <v>8240.4</v>
      </c>
      <c r="M392" s="78">
        <v>11206.86</v>
      </c>
      <c r="N392" s="60">
        <f t="shared" si="10"/>
        <v>27687.66</v>
      </c>
      <c r="O392" s="62">
        <v>10000</v>
      </c>
      <c r="P392" s="60">
        <f t="shared" si="11"/>
        <v>37687.660000000003</v>
      </c>
      <c r="Q392" s="44" t="s">
        <v>161</v>
      </c>
      <c r="R392" s="63">
        <v>45015</v>
      </c>
      <c r="S392" s="44" t="s">
        <v>1011</v>
      </c>
      <c r="T392" s="44"/>
      <c r="U392" s="44"/>
      <c r="V392" s="79"/>
      <c r="W392" s="63"/>
      <c r="X392" s="44"/>
      <c r="Z392" s="44"/>
      <c r="AA392" s="44"/>
    </row>
    <row r="393" spans="1:27" s="67" customFormat="1">
      <c r="A393" s="44">
        <v>381</v>
      </c>
      <c r="B393" s="56" t="s">
        <v>1008</v>
      </c>
      <c r="C393" s="44" t="s">
        <v>1012</v>
      </c>
      <c r="D393" s="44"/>
      <c r="E393" s="100" t="s">
        <v>161</v>
      </c>
      <c r="F393" s="69">
        <v>15504004700704</v>
      </c>
      <c r="G393" s="59" t="s">
        <v>381</v>
      </c>
      <c r="H393" s="60">
        <v>132300</v>
      </c>
      <c r="I393" s="61"/>
      <c r="J393" s="44" t="s">
        <v>128</v>
      </c>
      <c r="K393" s="78">
        <v>23814</v>
      </c>
      <c r="L393" s="78">
        <v>15876</v>
      </c>
      <c r="M393" s="78">
        <v>26989.200000000001</v>
      </c>
      <c r="N393" s="60">
        <f t="shared" si="10"/>
        <v>66679.199999999997</v>
      </c>
      <c r="O393" s="62">
        <v>10000</v>
      </c>
      <c r="P393" s="60">
        <f t="shared" si="11"/>
        <v>76679.199999999997</v>
      </c>
      <c r="Q393" s="44" t="s">
        <v>161</v>
      </c>
      <c r="R393" s="63">
        <v>45015</v>
      </c>
      <c r="S393" s="44" t="s">
        <v>1011</v>
      </c>
      <c r="T393" s="44"/>
      <c r="U393" s="44"/>
      <c r="V393" s="79"/>
      <c r="W393" s="63"/>
      <c r="X393" s="44"/>
      <c r="Z393" s="44"/>
      <c r="AA393" s="44"/>
    </row>
    <row r="394" spans="1:27">
      <c r="A394" s="43">
        <v>382</v>
      </c>
      <c r="B394" s="33" t="s">
        <v>1013</v>
      </c>
      <c r="C394" s="44" t="s">
        <v>1014</v>
      </c>
      <c r="D394" s="43" t="s">
        <v>1015</v>
      </c>
      <c r="E394" s="81" t="s">
        <v>1016</v>
      </c>
      <c r="F394" s="46">
        <v>15504007002111</v>
      </c>
      <c r="G394" s="47" t="s">
        <v>36</v>
      </c>
      <c r="H394" s="48">
        <v>49860</v>
      </c>
      <c r="I394" s="49">
        <v>117366</v>
      </c>
      <c r="J394" s="43" t="s">
        <v>128</v>
      </c>
      <c r="K394" s="48"/>
      <c r="L394" s="48"/>
      <c r="M394" s="48"/>
      <c r="N394" s="48">
        <f t="shared" si="10"/>
        <v>0</v>
      </c>
      <c r="O394" s="50">
        <v>10000</v>
      </c>
      <c r="P394" s="48">
        <f t="shared" si="11"/>
        <v>10000</v>
      </c>
      <c r="Q394" s="43" t="s">
        <v>1016</v>
      </c>
      <c r="R394" s="51">
        <v>44879</v>
      </c>
      <c r="S394" s="51">
        <v>44879</v>
      </c>
      <c r="T394" s="51"/>
      <c r="U394" s="43"/>
      <c r="V394" s="52"/>
      <c r="W394" s="53"/>
      <c r="X394" s="43"/>
      <c r="Z394" s="43"/>
      <c r="AA394" s="43"/>
    </row>
    <row r="395" spans="1:27">
      <c r="A395" s="44">
        <v>383</v>
      </c>
      <c r="B395" s="33" t="s">
        <v>1017</v>
      </c>
      <c r="C395" s="44" t="s">
        <v>1018</v>
      </c>
      <c r="D395" s="43" t="s">
        <v>1019</v>
      </c>
      <c r="E395" s="81" t="s">
        <v>211</v>
      </c>
      <c r="F395" s="46">
        <v>15504008300406</v>
      </c>
      <c r="G395" s="47" t="s">
        <v>36</v>
      </c>
      <c r="H395" s="48">
        <v>47780</v>
      </c>
      <c r="I395" s="49">
        <v>130497</v>
      </c>
      <c r="J395" s="43" t="s">
        <v>37</v>
      </c>
      <c r="K395" s="48">
        <v>9078.2000000000007</v>
      </c>
      <c r="L395" s="48">
        <v>9078.2000000000007</v>
      </c>
      <c r="M395" s="48">
        <v>12575.82</v>
      </c>
      <c r="N395" s="48">
        <f t="shared" si="10"/>
        <v>30732.22</v>
      </c>
      <c r="O395" s="50">
        <v>10000</v>
      </c>
      <c r="P395" s="48">
        <f t="shared" si="11"/>
        <v>40732.22</v>
      </c>
      <c r="Q395" s="43" t="s">
        <v>211</v>
      </c>
      <c r="R395" s="51">
        <v>44897</v>
      </c>
      <c r="S395" s="51">
        <v>45015</v>
      </c>
      <c r="T395" s="51"/>
      <c r="U395" s="43"/>
      <c r="V395" s="52"/>
      <c r="W395" s="53"/>
      <c r="X395" s="43"/>
      <c r="Y395" s="55" t="s">
        <v>54</v>
      </c>
      <c r="Z395" s="51">
        <v>45068</v>
      </c>
      <c r="AA395" s="43"/>
    </row>
    <row r="396" spans="1:27">
      <c r="A396" s="44">
        <v>384</v>
      </c>
      <c r="B396" s="33" t="s">
        <v>1020</v>
      </c>
      <c r="C396" s="44" t="s">
        <v>1021</v>
      </c>
      <c r="D396" s="43" t="s">
        <v>1022</v>
      </c>
      <c r="E396" s="81" t="s">
        <v>1023</v>
      </c>
      <c r="F396" s="46">
        <v>15504003801709</v>
      </c>
      <c r="G396" s="47" t="s">
        <v>36</v>
      </c>
      <c r="H396" s="48">
        <v>13050</v>
      </c>
      <c r="I396" s="49">
        <v>19028</v>
      </c>
      <c r="J396" s="43" t="s">
        <v>37</v>
      </c>
      <c r="K396" s="48">
        <v>2479.5</v>
      </c>
      <c r="L396" s="48">
        <v>2479.5</v>
      </c>
      <c r="M396" s="48">
        <v>3445.2</v>
      </c>
      <c r="N396" s="48">
        <f t="shared" si="10"/>
        <v>8404.2000000000007</v>
      </c>
      <c r="O396" s="50">
        <v>10000</v>
      </c>
      <c r="P396" s="48">
        <f t="shared" si="11"/>
        <v>18404.2</v>
      </c>
      <c r="Q396" s="43" t="s">
        <v>1023</v>
      </c>
      <c r="R396" s="51">
        <v>44973</v>
      </c>
      <c r="S396" s="51">
        <v>44876</v>
      </c>
      <c r="T396" s="51">
        <v>45005</v>
      </c>
      <c r="U396" s="43"/>
      <c r="V396" s="52"/>
      <c r="W396" s="53">
        <v>45016</v>
      </c>
      <c r="X396" s="43"/>
      <c r="Z396" s="43" t="s">
        <v>54</v>
      </c>
      <c r="AA396" s="43"/>
    </row>
    <row r="397" spans="1:27">
      <c r="A397" s="43">
        <v>385</v>
      </c>
      <c r="B397" s="33" t="s">
        <v>1024</v>
      </c>
      <c r="C397" s="44" t="s">
        <v>1025</v>
      </c>
      <c r="D397" s="43" t="s">
        <v>1026</v>
      </c>
      <c r="E397" s="81" t="s">
        <v>1023</v>
      </c>
      <c r="F397" s="46">
        <v>15504003800403</v>
      </c>
      <c r="G397" s="47" t="s">
        <v>36</v>
      </c>
      <c r="H397" s="48">
        <v>10230</v>
      </c>
      <c r="I397" s="49">
        <v>22935</v>
      </c>
      <c r="J397" s="43" t="s">
        <v>37</v>
      </c>
      <c r="K397" s="48">
        <v>1943.7</v>
      </c>
      <c r="L397" s="48">
        <v>1943.7</v>
      </c>
      <c r="M397" s="48">
        <v>2700.86</v>
      </c>
      <c r="N397" s="48">
        <f t="shared" si="10"/>
        <v>6588.26</v>
      </c>
      <c r="O397" s="50">
        <v>10000</v>
      </c>
      <c r="P397" s="48">
        <f t="shared" si="11"/>
        <v>16588.260000000002</v>
      </c>
      <c r="Q397" s="43" t="s">
        <v>1023</v>
      </c>
      <c r="R397" s="51">
        <v>44973</v>
      </c>
      <c r="S397" s="51">
        <v>44876</v>
      </c>
      <c r="T397" s="51">
        <v>45005</v>
      </c>
      <c r="U397" s="43"/>
      <c r="V397" s="52"/>
      <c r="W397" s="53">
        <v>45016</v>
      </c>
      <c r="X397" s="43"/>
      <c r="Z397" s="43" t="s">
        <v>54</v>
      </c>
      <c r="AA397" s="43"/>
    </row>
    <row r="398" spans="1:27" s="67" customFormat="1">
      <c r="A398" s="44">
        <v>386</v>
      </c>
      <c r="B398" s="56" t="s">
        <v>1027</v>
      </c>
      <c r="C398" s="44" t="s">
        <v>1028</v>
      </c>
      <c r="D398" s="44" t="s">
        <v>1029</v>
      </c>
      <c r="E398" s="100" t="s">
        <v>161</v>
      </c>
      <c r="F398" s="69"/>
      <c r="G398" s="59" t="s">
        <v>47</v>
      </c>
      <c r="H398" s="60">
        <v>11520</v>
      </c>
      <c r="I398" s="61">
        <v>128</v>
      </c>
      <c r="J398" s="44" t="s">
        <v>37</v>
      </c>
      <c r="K398" s="78">
        <f>1728+460.8</f>
        <v>2188.8000000000002</v>
      </c>
      <c r="L398" s="78">
        <v>2188.8000000000002</v>
      </c>
      <c r="M398" s="78">
        <f>2488.2+543.74</f>
        <v>3031.9399999999996</v>
      </c>
      <c r="N398" s="60">
        <f t="shared" ref="N398:N461" si="12">K398+L398+M398</f>
        <v>7409.54</v>
      </c>
      <c r="O398" s="62">
        <v>10000</v>
      </c>
      <c r="P398" s="60">
        <f t="shared" ref="P398:P461" si="13">K398+L398+M398+O398</f>
        <v>17409.54</v>
      </c>
      <c r="Q398" s="44" t="s">
        <v>161</v>
      </c>
      <c r="R398" s="63">
        <v>44874</v>
      </c>
      <c r="S398" s="63">
        <v>45007</v>
      </c>
      <c r="T398" s="63"/>
      <c r="U398" s="44"/>
      <c r="V398" s="79"/>
      <c r="W398" s="63">
        <v>45020</v>
      </c>
      <c r="X398" s="44"/>
      <c r="Z398" s="44" t="s">
        <v>54</v>
      </c>
      <c r="AA398" s="44"/>
    </row>
    <row r="399" spans="1:27" ht="22.5">
      <c r="A399" s="44">
        <v>387</v>
      </c>
      <c r="B399" s="80" t="s">
        <v>1030</v>
      </c>
      <c r="C399" s="44" t="s">
        <v>1031</v>
      </c>
      <c r="D399" s="43" t="s">
        <v>1032</v>
      </c>
      <c r="E399" s="45" t="s">
        <v>766</v>
      </c>
      <c r="F399" s="46">
        <v>15504008501905</v>
      </c>
      <c r="G399" s="47" t="s">
        <v>68</v>
      </c>
      <c r="H399" s="48">
        <v>41890</v>
      </c>
      <c r="I399" s="49">
        <v>1496</v>
      </c>
      <c r="J399" s="43" t="s">
        <v>58</v>
      </c>
      <c r="K399" s="48">
        <v>6283.5</v>
      </c>
      <c r="L399" s="48">
        <v>6283.5</v>
      </c>
      <c r="M399" s="48">
        <v>8612.64</v>
      </c>
      <c r="N399" s="48">
        <f t="shared" si="12"/>
        <v>21179.64</v>
      </c>
      <c r="O399" s="50">
        <v>10000</v>
      </c>
      <c r="P399" s="48">
        <f t="shared" si="13"/>
        <v>31179.64</v>
      </c>
      <c r="Q399" s="43" t="s">
        <v>766</v>
      </c>
      <c r="R399" s="51">
        <v>44889</v>
      </c>
      <c r="S399" s="51">
        <v>45008</v>
      </c>
      <c r="T399" s="51"/>
      <c r="U399" s="43"/>
      <c r="V399" s="52"/>
      <c r="W399" s="53">
        <v>45030</v>
      </c>
      <c r="X399" s="43"/>
      <c r="Z399" s="43" t="s">
        <v>54</v>
      </c>
      <c r="AA399" s="51">
        <v>45069</v>
      </c>
    </row>
    <row r="400" spans="1:27" ht="22.5">
      <c r="A400" s="43">
        <v>388</v>
      </c>
      <c r="B400" s="80" t="s">
        <v>1030</v>
      </c>
      <c r="C400" s="44" t="s">
        <v>1033</v>
      </c>
      <c r="D400" s="43" t="s">
        <v>1034</v>
      </c>
      <c r="E400" s="45" t="s">
        <v>766</v>
      </c>
      <c r="F400" s="46">
        <v>15504008501910</v>
      </c>
      <c r="G400" s="47" t="s">
        <v>68</v>
      </c>
      <c r="H400" s="48">
        <v>37270</v>
      </c>
      <c r="I400" s="49">
        <v>1331</v>
      </c>
      <c r="J400" s="43" t="s">
        <v>37</v>
      </c>
      <c r="K400" s="48">
        <f>5590.5+1490.8</f>
        <v>7081.3</v>
      </c>
      <c r="L400" s="48">
        <v>7081.3</v>
      </c>
      <c r="M400" s="48">
        <f>8050.2+1759.14</f>
        <v>9809.34</v>
      </c>
      <c r="N400" s="48">
        <f t="shared" si="12"/>
        <v>23971.940000000002</v>
      </c>
      <c r="O400" s="50">
        <v>10000</v>
      </c>
      <c r="P400" s="48">
        <f t="shared" si="13"/>
        <v>33971.94</v>
      </c>
      <c r="Q400" s="43" t="s">
        <v>766</v>
      </c>
      <c r="R400" s="51">
        <v>44889</v>
      </c>
      <c r="S400" s="51">
        <v>45008</v>
      </c>
      <c r="T400" s="51"/>
      <c r="U400" s="43"/>
      <c r="V400" s="52"/>
      <c r="W400" s="53">
        <v>45030</v>
      </c>
      <c r="X400" s="43"/>
      <c r="Z400" s="43" t="s">
        <v>54</v>
      </c>
      <c r="AA400" s="43"/>
    </row>
    <row r="401" spans="1:27" ht="22.5">
      <c r="A401" s="44">
        <v>389</v>
      </c>
      <c r="B401" s="80" t="s">
        <v>1030</v>
      </c>
      <c r="C401" s="44" t="s">
        <v>1035</v>
      </c>
      <c r="D401" s="43" t="s">
        <v>1036</v>
      </c>
      <c r="E401" s="45" t="s">
        <v>766</v>
      </c>
      <c r="F401" s="46">
        <v>15504008501922</v>
      </c>
      <c r="G401" s="47" t="s">
        <v>1037</v>
      </c>
      <c r="H401" s="48">
        <v>40990</v>
      </c>
      <c r="I401" s="49">
        <v>1464</v>
      </c>
      <c r="J401" s="43" t="s">
        <v>37</v>
      </c>
      <c r="K401" s="48">
        <f>6148.5+1639.6</f>
        <v>7788.1</v>
      </c>
      <c r="L401" s="48">
        <v>7788.1</v>
      </c>
      <c r="M401" s="48">
        <f>8853.9+1934.74</f>
        <v>10788.64</v>
      </c>
      <c r="N401" s="48">
        <f t="shared" si="12"/>
        <v>26364.84</v>
      </c>
      <c r="O401" s="50">
        <v>10000</v>
      </c>
      <c r="P401" s="48">
        <f t="shared" si="13"/>
        <v>36364.839999999997</v>
      </c>
      <c r="Q401" s="43" t="s">
        <v>766</v>
      </c>
      <c r="R401" s="51">
        <v>44889</v>
      </c>
      <c r="S401" s="51">
        <v>45008</v>
      </c>
      <c r="T401" s="51"/>
      <c r="U401" s="43"/>
      <c r="V401" s="52"/>
      <c r="W401" s="53">
        <v>45030</v>
      </c>
      <c r="X401" s="43"/>
      <c r="Z401" s="43" t="s">
        <v>54</v>
      </c>
      <c r="AA401" s="43"/>
    </row>
    <row r="402" spans="1:27" ht="22.5">
      <c r="A402" s="44">
        <v>390</v>
      </c>
      <c r="B402" s="80" t="s">
        <v>1030</v>
      </c>
      <c r="C402" s="44" t="s">
        <v>1038</v>
      </c>
      <c r="D402" s="43" t="s">
        <v>1039</v>
      </c>
      <c r="E402" s="45" t="s">
        <v>766</v>
      </c>
      <c r="F402" s="46">
        <v>15504008502510</v>
      </c>
      <c r="G402" s="47" t="s">
        <v>1037</v>
      </c>
      <c r="H402" s="48">
        <v>29820</v>
      </c>
      <c r="I402" s="49">
        <v>1065</v>
      </c>
      <c r="J402" s="43" t="s">
        <v>58</v>
      </c>
      <c r="K402" s="48">
        <v>4473</v>
      </c>
      <c r="L402" s="48">
        <v>4473</v>
      </c>
      <c r="M402" s="48">
        <v>6154.74</v>
      </c>
      <c r="N402" s="48">
        <f t="shared" si="12"/>
        <v>15100.74</v>
      </c>
      <c r="O402" s="50">
        <v>10000</v>
      </c>
      <c r="P402" s="48">
        <f t="shared" si="13"/>
        <v>25100.739999999998</v>
      </c>
      <c r="Q402" s="43" t="s">
        <v>766</v>
      </c>
      <c r="R402" s="51">
        <v>44889</v>
      </c>
      <c r="S402" s="51">
        <v>45008</v>
      </c>
      <c r="T402" s="51"/>
      <c r="U402" s="43"/>
      <c r="V402" s="52"/>
      <c r="W402" s="53">
        <v>45030</v>
      </c>
      <c r="X402" s="43"/>
      <c r="Z402" s="43" t="s">
        <v>54</v>
      </c>
      <c r="AA402" s="43"/>
    </row>
    <row r="403" spans="1:27" ht="22.5">
      <c r="A403" s="43">
        <v>391</v>
      </c>
      <c r="B403" s="80" t="s">
        <v>1030</v>
      </c>
      <c r="C403" s="44" t="s">
        <v>1040</v>
      </c>
      <c r="D403" s="43" t="s">
        <v>1041</v>
      </c>
      <c r="E403" s="45" t="s">
        <v>766</v>
      </c>
      <c r="F403" s="46">
        <v>15504008501454</v>
      </c>
      <c r="G403" s="47" t="s">
        <v>68</v>
      </c>
      <c r="H403" s="48">
        <v>36120</v>
      </c>
      <c r="I403" s="49">
        <v>1290</v>
      </c>
      <c r="J403" s="43" t="s">
        <v>37</v>
      </c>
      <c r="K403" s="48">
        <f>5481+1444.8</f>
        <v>6925.8</v>
      </c>
      <c r="L403" s="48">
        <f>5418+1444.8</f>
        <v>6862.8</v>
      </c>
      <c r="M403" s="48">
        <f>7801.8+1704.86</f>
        <v>9506.66</v>
      </c>
      <c r="N403" s="48">
        <f t="shared" si="12"/>
        <v>23295.260000000002</v>
      </c>
      <c r="O403" s="50">
        <v>10000</v>
      </c>
      <c r="P403" s="48">
        <f t="shared" si="13"/>
        <v>33295.26</v>
      </c>
      <c r="Q403" s="43" t="s">
        <v>766</v>
      </c>
      <c r="R403" s="51">
        <v>44889</v>
      </c>
      <c r="S403" s="51">
        <v>45008</v>
      </c>
      <c r="T403" s="51"/>
      <c r="U403" s="43"/>
      <c r="V403" s="52"/>
      <c r="W403" s="53">
        <v>45030</v>
      </c>
      <c r="X403" s="43"/>
      <c r="Z403" s="43" t="s">
        <v>54</v>
      </c>
      <c r="AA403" s="43"/>
    </row>
    <row r="404" spans="1:27" ht="22.5">
      <c r="A404" s="44">
        <v>392</v>
      </c>
      <c r="B404" s="80" t="s">
        <v>1030</v>
      </c>
      <c r="C404" s="44" t="s">
        <v>1042</v>
      </c>
      <c r="D404" s="43" t="s">
        <v>1043</v>
      </c>
      <c r="E404" s="45" t="s">
        <v>766</v>
      </c>
      <c r="F404" s="46">
        <v>15504008501453</v>
      </c>
      <c r="G404" s="47" t="s">
        <v>68</v>
      </c>
      <c r="H404" s="48">
        <v>37520</v>
      </c>
      <c r="I404" s="49">
        <v>1340</v>
      </c>
      <c r="J404" s="43" t="s">
        <v>37</v>
      </c>
      <c r="K404" s="48">
        <f>5628+1500.8</f>
        <v>7128.8</v>
      </c>
      <c r="L404" s="48">
        <v>7128.8</v>
      </c>
      <c r="M404" s="48">
        <f>8104.2+1770.94</f>
        <v>9875.14</v>
      </c>
      <c r="N404" s="48">
        <f t="shared" si="12"/>
        <v>24132.739999999998</v>
      </c>
      <c r="O404" s="50">
        <v>10000</v>
      </c>
      <c r="P404" s="48">
        <f t="shared" si="13"/>
        <v>34132.74</v>
      </c>
      <c r="Q404" s="43" t="s">
        <v>766</v>
      </c>
      <c r="R404" s="51">
        <v>44889</v>
      </c>
      <c r="S404" s="51">
        <v>45008</v>
      </c>
      <c r="T404" s="51"/>
      <c r="U404" s="43"/>
      <c r="V404" s="52"/>
      <c r="W404" s="53">
        <v>45030</v>
      </c>
      <c r="X404" s="43"/>
      <c r="Z404" s="43" t="s">
        <v>54</v>
      </c>
      <c r="AA404" s="43"/>
    </row>
    <row r="405" spans="1:27" ht="22.5">
      <c r="A405" s="44">
        <v>393</v>
      </c>
      <c r="B405" s="80" t="s">
        <v>1030</v>
      </c>
      <c r="C405" s="44" t="s">
        <v>1044</v>
      </c>
      <c r="D405" s="43" t="s">
        <v>1045</v>
      </c>
      <c r="E405" s="45" t="s">
        <v>766</v>
      </c>
      <c r="F405" s="46">
        <v>15504008501706</v>
      </c>
      <c r="G405" s="47" t="s">
        <v>36</v>
      </c>
      <c r="H405" s="48">
        <v>26790</v>
      </c>
      <c r="I405" s="49">
        <v>37536</v>
      </c>
      <c r="J405" s="43" t="s">
        <v>37</v>
      </c>
      <c r="K405" s="48">
        <f>4018.5+1071.6</f>
        <v>5090.1000000000004</v>
      </c>
      <c r="L405" s="48">
        <v>5090.1000000000004</v>
      </c>
      <c r="M405" s="48">
        <f>5786.7+1264.5</f>
        <v>7051.2</v>
      </c>
      <c r="N405" s="48">
        <f t="shared" si="12"/>
        <v>17231.400000000001</v>
      </c>
      <c r="O405" s="50">
        <v>10000</v>
      </c>
      <c r="P405" s="48">
        <f t="shared" si="13"/>
        <v>27231.4</v>
      </c>
      <c r="Q405" s="43" t="s">
        <v>766</v>
      </c>
      <c r="R405" s="51">
        <v>44889</v>
      </c>
      <c r="S405" s="51">
        <v>45008</v>
      </c>
      <c r="T405" s="51"/>
      <c r="U405" s="43"/>
      <c r="V405" s="52"/>
      <c r="W405" s="53">
        <v>45030</v>
      </c>
      <c r="X405" s="43"/>
      <c r="Z405" s="43" t="s">
        <v>54</v>
      </c>
      <c r="AA405" s="43"/>
    </row>
    <row r="406" spans="1:27" ht="22.5">
      <c r="A406" s="43">
        <v>394</v>
      </c>
      <c r="B406" s="80" t="s">
        <v>1030</v>
      </c>
      <c r="C406" s="44" t="s">
        <v>1046</v>
      </c>
      <c r="D406" s="43" t="s">
        <v>1047</v>
      </c>
      <c r="E406" s="45" t="s">
        <v>766</v>
      </c>
      <c r="F406" s="46">
        <v>15504008501709</v>
      </c>
      <c r="G406" s="47" t="s">
        <v>36</v>
      </c>
      <c r="H406" s="48">
        <v>37380</v>
      </c>
      <c r="I406" s="49">
        <v>55737</v>
      </c>
      <c r="J406" s="43" t="s">
        <v>74</v>
      </c>
      <c r="K406" s="48">
        <f>4111.8</f>
        <v>4111.8</v>
      </c>
      <c r="L406" s="48">
        <v>4111.8</v>
      </c>
      <c r="M406" s="48">
        <v>5532.3</v>
      </c>
      <c r="N406" s="48">
        <f t="shared" si="12"/>
        <v>13755.900000000001</v>
      </c>
      <c r="O406" s="50">
        <v>10000</v>
      </c>
      <c r="P406" s="48">
        <f t="shared" si="13"/>
        <v>23755.9</v>
      </c>
      <c r="Q406" s="43" t="s">
        <v>766</v>
      </c>
      <c r="R406" s="51">
        <v>44889</v>
      </c>
      <c r="S406" s="51">
        <v>45008</v>
      </c>
      <c r="T406" s="51"/>
      <c r="U406" s="43"/>
      <c r="V406" s="52"/>
      <c r="W406" s="53">
        <v>45030</v>
      </c>
      <c r="X406" s="43"/>
      <c r="Z406" s="43" t="s">
        <v>54</v>
      </c>
      <c r="AA406" s="43"/>
    </row>
    <row r="407" spans="1:27" ht="22.5">
      <c r="A407" s="44">
        <v>395</v>
      </c>
      <c r="B407" s="80" t="s">
        <v>1030</v>
      </c>
      <c r="C407" s="44" t="s">
        <v>1048</v>
      </c>
      <c r="D407" s="43" t="s">
        <v>1049</v>
      </c>
      <c r="E407" s="45" t="s">
        <v>766</v>
      </c>
      <c r="F407" s="46">
        <v>15504008501724</v>
      </c>
      <c r="G407" s="47" t="s">
        <v>36</v>
      </c>
      <c r="H407" s="48">
        <v>62590</v>
      </c>
      <c r="I407" s="49">
        <v>85210</v>
      </c>
      <c r="J407" s="43" t="s">
        <v>37</v>
      </c>
      <c r="K407" s="48">
        <f>9388.5+2503.6</f>
        <v>11892.1</v>
      </c>
      <c r="L407" s="48">
        <v>11892.1</v>
      </c>
      <c r="M407" s="48">
        <f>13519.5+2954.26</f>
        <v>16473.760000000002</v>
      </c>
      <c r="N407" s="48">
        <f t="shared" si="12"/>
        <v>40257.960000000006</v>
      </c>
      <c r="O407" s="50">
        <v>10000</v>
      </c>
      <c r="P407" s="48">
        <f t="shared" si="13"/>
        <v>50257.960000000006</v>
      </c>
      <c r="Q407" s="43" t="s">
        <v>766</v>
      </c>
      <c r="R407" s="51">
        <v>44889</v>
      </c>
      <c r="S407" s="51">
        <v>45008</v>
      </c>
      <c r="T407" s="51"/>
      <c r="U407" s="43"/>
      <c r="V407" s="52"/>
      <c r="W407" s="53">
        <v>45030</v>
      </c>
      <c r="X407" s="43"/>
      <c r="Z407" s="43" t="s">
        <v>54</v>
      </c>
      <c r="AA407" s="43"/>
    </row>
    <row r="408" spans="1:27" ht="22.5">
      <c r="A408" s="44">
        <v>396</v>
      </c>
      <c r="B408" s="80" t="s">
        <v>1030</v>
      </c>
      <c r="C408" s="44" t="s">
        <v>1050</v>
      </c>
      <c r="D408" s="43" t="s">
        <v>1051</v>
      </c>
      <c r="E408" s="45" t="s">
        <v>766</v>
      </c>
      <c r="F408" s="46">
        <v>15504008501732</v>
      </c>
      <c r="G408" s="47" t="s">
        <v>36</v>
      </c>
      <c r="H408" s="48">
        <v>57730</v>
      </c>
      <c r="I408" s="49">
        <v>116971</v>
      </c>
      <c r="J408" s="43" t="s">
        <v>37</v>
      </c>
      <c r="K408" s="48">
        <f>8659.5+2309.2</f>
        <v>10968.7</v>
      </c>
      <c r="L408" s="48">
        <v>10968.7</v>
      </c>
      <c r="M408" s="48">
        <f>12469.8+2724.86</f>
        <v>15194.66</v>
      </c>
      <c r="N408" s="48">
        <f t="shared" si="12"/>
        <v>37132.06</v>
      </c>
      <c r="O408" s="50">
        <v>10000</v>
      </c>
      <c r="P408" s="48">
        <f t="shared" si="13"/>
        <v>47132.06</v>
      </c>
      <c r="Q408" s="43" t="s">
        <v>766</v>
      </c>
      <c r="R408" s="51">
        <v>44889</v>
      </c>
      <c r="S408" s="51">
        <v>45008</v>
      </c>
      <c r="T408" s="51"/>
      <c r="U408" s="43"/>
      <c r="V408" s="52"/>
      <c r="W408" s="53">
        <v>45030</v>
      </c>
      <c r="X408" s="43"/>
      <c r="Z408" s="43" t="s">
        <v>54</v>
      </c>
      <c r="AA408" s="43"/>
    </row>
    <row r="409" spans="1:27" ht="22.5">
      <c r="A409" s="43">
        <v>397</v>
      </c>
      <c r="B409" s="80" t="s">
        <v>1030</v>
      </c>
      <c r="C409" s="44" t="s">
        <v>1052</v>
      </c>
      <c r="D409" s="43" t="s">
        <v>1053</v>
      </c>
      <c r="E409" s="45" t="s">
        <v>766</v>
      </c>
      <c r="F409" s="46">
        <v>15504008501439</v>
      </c>
      <c r="G409" s="47" t="s">
        <v>119</v>
      </c>
      <c r="H409" s="48">
        <v>49870</v>
      </c>
      <c r="I409" s="49">
        <v>1781</v>
      </c>
      <c r="J409" s="43" t="s">
        <v>58</v>
      </c>
      <c r="K409" s="48">
        <v>7480.5</v>
      </c>
      <c r="L409" s="48">
        <v>7480.5</v>
      </c>
      <c r="M409" s="48">
        <v>10253.18</v>
      </c>
      <c r="N409" s="48">
        <f t="shared" si="12"/>
        <v>25214.18</v>
      </c>
      <c r="O409" s="50">
        <v>10000</v>
      </c>
      <c r="P409" s="48">
        <f t="shared" si="13"/>
        <v>35214.18</v>
      </c>
      <c r="Q409" s="43" t="s">
        <v>766</v>
      </c>
      <c r="R409" s="51">
        <v>44889</v>
      </c>
      <c r="S409" s="51">
        <v>45008</v>
      </c>
      <c r="T409" s="51"/>
      <c r="U409" s="43"/>
      <c r="V409" s="52"/>
      <c r="W409" s="53"/>
      <c r="X409" s="43"/>
      <c r="Y409" s="55" t="s">
        <v>54</v>
      </c>
      <c r="Z409" s="51">
        <v>45069</v>
      </c>
      <c r="AA409" s="43"/>
    </row>
    <row r="410" spans="1:27">
      <c r="A410" s="44">
        <v>398</v>
      </c>
      <c r="B410" s="33" t="s">
        <v>1054</v>
      </c>
      <c r="C410" s="44" t="s">
        <v>1055</v>
      </c>
      <c r="D410" s="43" t="s">
        <v>52</v>
      </c>
      <c r="E410" s="45" t="s">
        <v>53</v>
      </c>
      <c r="F410" s="46">
        <v>15504001200904</v>
      </c>
      <c r="G410" s="47" t="s">
        <v>36</v>
      </c>
      <c r="H410" s="48">
        <v>60380</v>
      </c>
      <c r="I410" s="49">
        <v>150000</v>
      </c>
      <c r="J410" s="43" t="s">
        <v>115</v>
      </c>
      <c r="K410" s="48">
        <v>9660.7999999999993</v>
      </c>
      <c r="L410" s="48">
        <v>9660.7999999999993</v>
      </c>
      <c r="M410" s="48">
        <v>13283.7</v>
      </c>
      <c r="N410" s="48">
        <f t="shared" si="12"/>
        <v>32605.3</v>
      </c>
      <c r="O410" s="50">
        <v>10000</v>
      </c>
      <c r="P410" s="48">
        <f t="shared" si="13"/>
        <v>42605.3</v>
      </c>
      <c r="Q410" s="43" t="s">
        <v>53</v>
      </c>
      <c r="R410" s="51">
        <v>44875</v>
      </c>
      <c r="S410" s="51"/>
      <c r="T410" s="51"/>
      <c r="U410" s="43"/>
      <c r="V410" s="52"/>
      <c r="W410" s="53"/>
      <c r="X410" s="43"/>
      <c r="Z410" s="43"/>
      <c r="AA410" s="43"/>
    </row>
    <row r="411" spans="1:27">
      <c r="A411" s="44">
        <v>399</v>
      </c>
      <c r="B411" s="33" t="s">
        <v>1054</v>
      </c>
      <c r="C411" s="44" t="s">
        <v>1056</v>
      </c>
      <c r="D411" s="43" t="s">
        <v>52</v>
      </c>
      <c r="E411" s="45" t="s">
        <v>53</v>
      </c>
      <c r="F411" s="46">
        <v>15504001201001</v>
      </c>
      <c r="G411" s="47" t="s">
        <v>36</v>
      </c>
      <c r="H411" s="48">
        <v>60380</v>
      </c>
      <c r="I411" s="49">
        <v>150000</v>
      </c>
      <c r="J411" s="43" t="s">
        <v>42</v>
      </c>
      <c r="K411" s="48">
        <v>10868.4</v>
      </c>
      <c r="L411" s="48">
        <v>10868.4</v>
      </c>
      <c r="M411" s="48">
        <v>15022.66</v>
      </c>
      <c r="N411" s="48">
        <f t="shared" si="12"/>
        <v>36759.46</v>
      </c>
      <c r="O411" s="50">
        <v>10000</v>
      </c>
      <c r="P411" s="48">
        <f t="shared" si="13"/>
        <v>46759.46</v>
      </c>
      <c r="Q411" s="43" t="s">
        <v>53</v>
      </c>
      <c r="R411" s="51">
        <v>44876</v>
      </c>
      <c r="S411" s="51">
        <v>45015</v>
      </c>
      <c r="T411" s="51"/>
      <c r="U411" s="43"/>
      <c r="V411" s="52"/>
      <c r="W411" s="53"/>
      <c r="X411" s="43"/>
      <c r="Y411" s="120" t="s">
        <v>1057</v>
      </c>
      <c r="Z411" s="46"/>
      <c r="AA411" s="43"/>
    </row>
    <row r="412" spans="1:27" s="67" customFormat="1">
      <c r="A412" s="43">
        <v>400</v>
      </c>
      <c r="B412" s="56" t="s">
        <v>1058</v>
      </c>
      <c r="C412" s="44" t="s">
        <v>1059</v>
      </c>
      <c r="D412" s="44" t="s">
        <v>1060</v>
      </c>
      <c r="E412" s="68" t="s">
        <v>41</v>
      </c>
      <c r="F412" s="69">
        <v>15504006300405</v>
      </c>
      <c r="G412" s="92" t="s">
        <v>109</v>
      </c>
      <c r="H412" s="60">
        <v>18820</v>
      </c>
      <c r="I412" s="61">
        <v>2353</v>
      </c>
      <c r="J412" s="44" t="s">
        <v>37</v>
      </c>
      <c r="K412" s="60">
        <v>3575.8</v>
      </c>
      <c r="L412" s="60">
        <v>3575.8</v>
      </c>
      <c r="M412" s="60">
        <v>4968.34</v>
      </c>
      <c r="N412" s="60">
        <f t="shared" si="12"/>
        <v>12119.94</v>
      </c>
      <c r="O412" s="62">
        <v>10000</v>
      </c>
      <c r="P412" s="60">
        <f t="shared" si="13"/>
        <v>22119.940000000002</v>
      </c>
      <c r="Q412" s="44" t="s">
        <v>41</v>
      </c>
      <c r="R412" s="63">
        <v>44879</v>
      </c>
      <c r="S412" s="63"/>
      <c r="T412" s="63"/>
      <c r="U412" s="44"/>
      <c r="V412" s="64"/>
      <c r="W412" s="65"/>
      <c r="X412" s="44"/>
      <c r="Z412" s="44"/>
      <c r="AA412" s="44"/>
    </row>
    <row r="413" spans="1:27" s="67" customFormat="1">
      <c r="A413" s="44">
        <v>401</v>
      </c>
      <c r="B413" s="56" t="s">
        <v>1058</v>
      </c>
      <c r="C413" s="44" t="s">
        <v>1061</v>
      </c>
      <c r="D413" s="44" t="s">
        <v>1062</v>
      </c>
      <c r="E413" s="68" t="s">
        <v>41</v>
      </c>
      <c r="F413" s="69">
        <v>15504006300411</v>
      </c>
      <c r="G413" s="92" t="s">
        <v>1037</v>
      </c>
      <c r="H413" s="60">
        <v>4680</v>
      </c>
      <c r="I413" s="61">
        <v>585</v>
      </c>
      <c r="J413" s="44" t="s">
        <v>37</v>
      </c>
      <c r="K413" s="60">
        <v>889.2</v>
      </c>
      <c r="L413" s="60">
        <v>889.2</v>
      </c>
      <c r="M413" s="60">
        <v>1235.6600000000001</v>
      </c>
      <c r="N413" s="60">
        <f t="shared" si="12"/>
        <v>3014.0600000000004</v>
      </c>
      <c r="O413" s="62">
        <v>10000</v>
      </c>
      <c r="P413" s="60">
        <f t="shared" si="13"/>
        <v>13014.060000000001</v>
      </c>
      <c r="Q413" s="44" t="s">
        <v>41</v>
      </c>
      <c r="R413" s="44"/>
      <c r="S413" s="44"/>
      <c r="T413" s="44"/>
      <c r="U413" s="44"/>
      <c r="V413" s="64"/>
      <c r="W413" s="65"/>
      <c r="X413" s="44"/>
      <c r="Z413" s="44"/>
      <c r="AA413" s="44"/>
    </row>
    <row r="414" spans="1:27" s="67" customFormat="1">
      <c r="A414" s="44">
        <v>402</v>
      </c>
      <c r="B414" s="56" t="s">
        <v>1058</v>
      </c>
      <c r="C414" s="44" t="s">
        <v>1063</v>
      </c>
      <c r="D414" s="44" t="s">
        <v>1064</v>
      </c>
      <c r="E414" s="68" t="s">
        <v>41</v>
      </c>
      <c r="F414" s="69">
        <v>15504006300417</v>
      </c>
      <c r="G414" s="92" t="s">
        <v>464</v>
      </c>
      <c r="H414" s="60">
        <v>28860</v>
      </c>
      <c r="I414" s="61">
        <v>3608</v>
      </c>
      <c r="J414" s="44" t="s">
        <v>37</v>
      </c>
      <c r="K414" s="60">
        <v>5483.4</v>
      </c>
      <c r="L414" s="60">
        <v>5483.4</v>
      </c>
      <c r="M414" s="60">
        <v>7618.98</v>
      </c>
      <c r="N414" s="60">
        <f t="shared" si="12"/>
        <v>18585.78</v>
      </c>
      <c r="O414" s="62">
        <v>10000</v>
      </c>
      <c r="P414" s="60">
        <f t="shared" si="13"/>
        <v>28585.78</v>
      </c>
      <c r="Q414" s="44" t="s">
        <v>41</v>
      </c>
      <c r="R414" s="63">
        <v>44879</v>
      </c>
      <c r="S414" s="63"/>
      <c r="T414" s="63"/>
      <c r="U414" s="44"/>
      <c r="V414" s="64"/>
      <c r="W414" s="65"/>
      <c r="X414" s="44"/>
      <c r="Z414" s="44"/>
      <c r="AA414" s="44"/>
    </row>
    <row r="415" spans="1:27" s="67" customFormat="1">
      <c r="A415" s="43">
        <v>403</v>
      </c>
      <c r="B415" s="56" t="s">
        <v>1058</v>
      </c>
      <c r="C415" s="44" t="s">
        <v>1065</v>
      </c>
      <c r="D415" s="44" t="s">
        <v>1066</v>
      </c>
      <c r="E415" s="68" t="s">
        <v>41</v>
      </c>
      <c r="F415" s="69">
        <v>15504006300414</v>
      </c>
      <c r="G415" s="59" t="s">
        <v>109</v>
      </c>
      <c r="H415" s="60">
        <v>23780</v>
      </c>
      <c r="I415" s="61">
        <v>1486</v>
      </c>
      <c r="J415" s="44" t="s">
        <v>37</v>
      </c>
      <c r="K415" s="60">
        <v>4518.2</v>
      </c>
      <c r="L415" s="60">
        <v>4518.2</v>
      </c>
      <c r="M415" s="60">
        <v>6278.06</v>
      </c>
      <c r="N415" s="60">
        <f t="shared" si="12"/>
        <v>15314.46</v>
      </c>
      <c r="O415" s="62">
        <v>10000</v>
      </c>
      <c r="P415" s="60">
        <f t="shared" si="13"/>
        <v>25314.46</v>
      </c>
      <c r="Q415" s="44" t="s">
        <v>41</v>
      </c>
      <c r="R415" s="63">
        <v>44879</v>
      </c>
      <c r="S415" s="63"/>
      <c r="T415" s="63"/>
      <c r="U415" s="44"/>
      <c r="V415" s="64"/>
      <c r="W415" s="65"/>
      <c r="X415" s="44"/>
      <c r="Z415" s="44"/>
      <c r="AA415" s="44"/>
    </row>
    <row r="416" spans="1:27">
      <c r="A416" s="44">
        <v>404</v>
      </c>
      <c r="B416" s="33" t="s">
        <v>1067</v>
      </c>
      <c r="C416" s="44" t="s">
        <v>1068</v>
      </c>
      <c r="D416" s="43"/>
      <c r="E416" s="45" t="s">
        <v>1069</v>
      </c>
      <c r="F416" s="46">
        <v>15504000100128</v>
      </c>
      <c r="G416" s="47" t="s">
        <v>1070</v>
      </c>
      <c r="H416" s="48">
        <v>5110</v>
      </c>
      <c r="I416" s="49">
        <v>35</v>
      </c>
      <c r="J416" s="43" t="s">
        <v>37</v>
      </c>
      <c r="K416" s="48">
        <v>1456.35</v>
      </c>
      <c r="L416" s="48">
        <v>970.9</v>
      </c>
      <c r="M416" s="48">
        <v>1681.19</v>
      </c>
      <c r="N416" s="48">
        <f t="shared" si="12"/>
        <v>4108.4400000000005</v>
      </c>
      <c r="O416" s="50">
        <v>10000</v>
      </c>
      <c r="P416" s="48">
        <f t="shared" si="13"/>
        <v>14108.44</v>
      </c>
      <c r="Q416" s="43" t="s">
        <v>1069</v>
      </c>
      <c r="R416" s="51">
        <v>45000</v>
      </c>
      <c r="S416" s="51">
        <v>44876</v>
      </c>
      <c r="T416" s="51"/>
      <c r="U416" s="43"/>
      <c r="V416" s="52"/>
      <c r="W416" s="53"/>
      <c r="X416" s="43"/>
      <c r="Y416" s="55" t="s">
        <v>49</v>
      </c>
      <c r="Z416" s="51">
        <v>45061</v>
      </c>
      <c r="AA416" s="43"/>
    </row>
    <row r="417" spans="1:52">
      <c r="A417" s="44">
        <v>405</v>
      </c>
      <c r="B417" s="33" t="s">
        <v>1071</v>
      </c>
      <c r="C417" s="44" t="s">
        <v>1072</v>
      </c>
      <c r="D417" s="43" t="s">
        <v>1073</v>
      </c>
      <c r="E417" s="45" t="s">
        <v>766</v>
      </c>
      <c r="F417" s="46">
        <v>15504008501702</v>
      </c>
      <c r="G417" s="47" t="s">
        <v>36</v>
      </c>
      <c r="H417" s="48">
        <v>28950</v>
      </c>
      <c r="I417" s="49">
        <v>66434</v>
      </c>
      <c r="J417" s="43" t="s">
        <v>37</v>
      </c>
      <c r="K417" s="48">
        <f>4342.5+1158</f>
        <v>5500.5</v>
      </c>
      <c r="L417" s="48">
        <v>5500.5</v>
      </c>
      <c r="M417" s="48">
        <f>6253.2+1366.44</f>
        <v>7619.6399999999994</v>
      </c>
      <c r="N417" s="48">
        <f t="shared" si="12"/>
        <v>18620.64</v>
      </c>
      <c r="O417" s="50">
        <v>10000</v>
      </c>
      <c r="P417" s="48">
        <f t="shared" si="13"/>
        <v>28620.639999999999</v>
      </c>
      <c r="Q417" s="43" t="s">
        <v>766</v>
      </c>
      <c r="R417" s="51">
        <v>44889</v>
      </c>
      <c r="S417" s="51"/>
      <c r="T417" s="51"/>
      <c r="U417" s="43"/>
      <c r="V417" s="52"/>
      <c r="W417" s="53">
        <v>45030</v>
      </c>
      <c r="X417" s="43"/>
      <c r="Z417" s="43" t="s">
        <v>54</v>
      </c>
      <c r="AA417" s="43"/>
    </row>
    <row r="418" spans="1:52">
      <c r="A418" s="43">
        <v>406</v>
      </c>
      <c r="B418" s="33" t="s">
        <v>1074</v>
      </c>
      <c r="C418" s="44" t="s">
        <v>1075</v>
      </c>
      <c r="D418" s="43"/>
      <c r="E418" s="81" t="s">
        <v>57</v>
      </c>
      <c r="F418" s="46">
        <v>15504003100301</v>
      </c>
      <c r="G418" s="47" t="s">
        <v>157</v>
      </c>
      <c r="H418" s="48">
        <v>29850</v>
      </c>
      <c r="I418" s="49"/>
      <c r="J418" s="43" t="s">
        <v>273</v>
      </c>
      <c r="K418" s="48">
        <v>2089.5</v>
      </c>
      <c r="L418" s="48">
        <v>2089.5</v>
      </c>
      <c r="M418" s="48">
        <v>2698.44</v>
      </c>
      <c r="N418" s="48">
        <f t="shared" si="12"/>
        <v>6877.4400000000005</v>
      </c>
      <c r="O418" s="50">
        <v>10000</v>
      </c>
      <c r="P418" s="48">
        <f t="shared" si="13"/>
        <v>16877.440000000002</v>
      </c>
      <c r="Q418" s="43" t="s">
        <v>57</v>
      </c>
      <c r="R418" s="51">
        <v>44960</v>
      </c>
      <c r="S418" s="43" t="s">
        <v>1076</v>
      </c>
      <c r="T418" s="43"/>
      <c r="U418" s="43"/>
      <c r="V418" s="52"/>
      <c r="W418" s="53">
        <v>45049</v>
      </c>
      <c r="X418" s="51">
        <v>44992</v>
      </c>
      <c r="Y418" s="55" t="s">
        <v>54</v>
      </c>
      <c r="Z418" s="51">
        <v>45065</v>
      </c>
      <c r="AA418" s="43"/>
    </row>
    <row r="419" spans="1:52" ht="25.5">
      <c r="A419" s="44">
        <v>407</v>
      </c>
      <c r="B419" s="33" t="s">
        <v>1077</v>
      </c>
      <c r="C419" s="44" t="s">
        <v>1078</v>
      </c>
      <c r="D419" s="43" t="s">
        <v>1079</v>
      </c>
      <c r="E419" s="81" t="s">
        <v>145</v>
      </c>
      <c r="F419" s="46">
        <v>15504003301333</v>
      </c>
      <c r="G419" s="47" t="s">
        <v>47</v>
      </c>
      <c r="H419" s="48">
        <v>6340</v>
      </c>
      <c r="I419" s="49">
        <v>151</v>
      </c>
      <c r="J419" s="43" t="s">
        <v>37</v>
      </c>
      <c r="K419" s="48">
        <v>1204.5999999999999</v>
      </c>
      <c r="L419" s="48">
        <v>1204.5999999999999</v>
      </c>
      <c r="M419" s="48">
        <v>1668.76</v>
      </c>
      <c r="N419" s="48">
        <f t="shared" si="12"/>
        <v>4077.96</v>
      </c>
      <c r="O419" s="50">
        <v>10000</v>
      </c>
      <c r="P419" s="48">
        <f t="shared" si="13"/>
        <v>14077.96</v>
      </c>
      <c r="Q419" s="43" t="s">
        <v>145</v>
      </c>
      <c r="R419" s="51">
        <v>44979</v>
      </c>
      <c r="S419" s="51">
        <v>45014</v>
      </c>
      <c r="T419" s="43"/>
      <c r="U419" s="43"/>
      <c r="V419" s="52"/>
      <c r="W419" s="53"/>
      <c r="X419" s="43"/>
      <c r="Z419" s="43"/>
      <c r="AA419" s="43"/>
    </row>
    <row r="420" spans="1:52">
      <c r="A420" s="44">
        <v>408</v>
      </c>
      <c r="B420" s="33" t="s">
        <v>1080</v>
      </c>
      <c r="C420" s="44" t="s">
        <v>1081</v>
      </c>
      <c r="D420" s="43" t="s">
        <v>1082</v>
      </c>
      <c r="E420" s="81" t="s">
        <v>244</v>
      </c>
      <c r="F420" s="46">
        <v>15504010200503</v>
      </c>
      <c r="G420" s="47" t="s">
        <v>36</v>
      </c>
      <c r="H420" s="48">
        <v>38260</v>
      </c>
      <c r="I420" s="49">
        <v>51449</v>
      </c>
      <c r="J420" s="43" t="s">
        <v>74</v>
      </c>
      <c r="K420" s="48">
        <v>4399.8999999999996</v>
      </c>
      <c r="L420" s="48">
        <v>4399.8999999999996</v>
      </c>
      <c r="M420" s="48">
        <v>5937.92</v>
      </c>
      <c r="N420" s="48">
        <f t="shared" si="12"/>
        <v>14737.72</v>
      </c>
      <c r="O420" s="50">
        <v>10000</v>
      </c>
      <c r="P420" s="48">
        <f t="shared" si="13"/>
        <v>24737.72</v>
      </c>
      <c r="Q420" s="43" t="s">
        <v>244</v>
      </c>
      <c r="R420" s="51">
        <v>44888</v>
      </c>
      <c r="S420" s="51">
        <v>45013</v>
      </c>
      <c r="T420" s="51"/>
      <c r="U420" s="43"/>
      <c r="V420" s="52"/>
      <c r="W420" s="53">
        <v>45020</v>
      </c>
      <c r="X420" s="43"/>
      <c r="Z420" s="43" t="s">
        <v>54</v>
      </c>
      <c r="AA420" s="51">
        <v>45070</v>
      </c>
    </row>
    <row r="421" spans="1:52" ht="25.5">
      <c r="A421" s="43">
        <v>409</v>
      </c>
      <c r="B421" s="33" t="s">
        <v>1083</v>
      </c>
      <c r="C421" s="44" t="s">
        <v>1084</v>
      </c>
      <c r="D421" s="43" t="s">
        <v>1085</v>
      </c>
      <c r="E421" s="81" t="s">
        <v>289</v>
      </c>
      <c r="F421" s="46">
        <v>15504011004125</v>
      </c>
      <c r="G421" s="47" t="s">
        <v>47</v>
      </c>
      <c r="H421" s="48">
        <v>38470</v>
      </c>
      <c r="I421" s="49">
        <v>916</v>
      </c>
      <c r="J421" s="43" t="s">
        <v>37</v>
      </c>
      <c r="K421" s="48">
        <v>7309.3</v>
      </c>
      <c r="L421" s="48">
        <v>7309.3</v>
      </c>
      <c r="M421" s="48">
        <v>10125.18</v>
      </c>
      <c r="N421" s="48">
        <f t="shared" si="12"/>
        <v>24743.78</v>
      </c>
      <c r="O421" s="50">
        <v>10000</v>
      </c>
      <c r="P421" s="48">
        <f t="shared" si="13"/>
        <v>34743.78</v>
      </c>
      <c r="Q421" s="43" t="s">
        <v>289</v>
      </c>
      <c r="R421" s="51">
        <v>44986</v>
      </c>
      <c r="S421" s="51">
        <v>45000</v>
      </c>
      <c r="T421" s="43"/>
      <c r="U421" s="43"/>
      <c r="V421" s="52"/>
      <c r="W421" s="53">
        <v>45040</v>
      </c>
      <c r="X421" s="43"/>
      <c r="Y421" s="55" t="s">
        <v>54</v>
      </c>
      <c r="Z421" s="51">
        <v>45068</v>
      </c>
      <c r="AA421" s="43"/>
    </row>
    <row r="422" spans="1:52" ht="25.5">
      <c r="A422" s="44">
        <v>410</v>
      </c>
      <c r="B422" s="33" t="s">
        <v>1086</v>
      </c>
      <c r="C422" s="44" t="s">
        <v>1087</v>
      </c>
      <c r="D422" s="43" t="s">
        <v>1088</v>
      </c>
      <c r="E422" s="81" t="s">
        <v>1089</v>
      </c>
      <c r="F422" s="46">
        <v>15504006101211</v>
      </c>
      <c r="G422" s="47" t="s">
        <v>36</v>
      </c>
      <c r="H422" s="48">
        <v>36220</v>
      </c>
      <c r="I422" s="49">
        <v>60997</v>
      </c>
      <c r="J422" s="43" t="s">
        <v>37</v>
      </c>
      <c r="K422" s="48">
        <f>5433+1448.8</f>
        <v>6881.8</v>
      </c>
      <c r="L422" s="48">
        <v>6881.8</v>
      </c>
      <c r="M422" s="48">
        <f>7823.4+1738.54</f>
        <v>9561.9399999999987</v>
      </c>
      <c r="N422" s="48">
        <f t="shared" si="12"/>
        <v>23325.54</v>
      </c>
      <c r="O422" s="50">
        <v>10000</v>
      </c>
      <c r="P422" s="48">
        <f t="shared" si="13"/>
        <v>33325.54</v>
      </c>
      <c r="Q422" s="43" t="s">
        <v>1089</v>
      </c>
      <c r="R422" s="51">
        <v>44986</v>
      </c>
      <c r="S422" s="51">
        <v>45009</v>
      </c>
      <c r="T422" s="43"/>
      <c r="U422" s="43"/>
      <c r="V422" s="52"/>
      <c r="W422" s="53">
        <v>45029</v>
      </c>
      <c r="X422" s="43"/>
      <c r="Z422" s="43" t="s">
        <v>54</v>
      </c>
      <c r="AA422" s="43"/>
    </row>
    <row r="423" spans="1:52" ht="25.5">
      <c r="A423" s="44">
        <v>411</v>
      </c>
      <c r="B423" s="33" t="s">
        <v>1090</v>
      </c>
      <c r="C423" s="44" t="s">
        <v>1091</v>
      </c>
      <c r="D423" s="43" t="s">
        <v>1092</v>
      </c>
      <c r="E423" s="81" t="s">
        <v>46</v>
      </c>
      <c r="F423" s="46">
        <v>15504007601026</v>
      </c>
      <c r="G423" s="47" t="s">
        <v>47</v>
      </c>
      <c r="H423" s="48">
        <v>75000</v>
      </c>
      <c r="I423" s="49">
        <v>2500</v>
      </c>
      <c r="J423" s="43" t="s">
        <v>37</v>
      </c>
      <c r="K423" s="48">
        <v>14250</v>
      </c>
      <c r="L423" s="48">
        <v>14250</v>
      </c>
      <c r="M423" s="48">
        <v>19800</v>
      </c>
      <c r="N423" s="48">
        <f t="shared" si="12"/>
        <v>48300</v>
      </c>
      <c r="O423" s="50">
        <v>10000</v>
      </c>
      <c r="P423" s="48">
        <f t="shared" si="13"/>
        <v>58300</v>
      </c>
      <c r="Q423" s="43" t="s">
        <v>46</v>
      </c>
      <c r="R423" s="51">
        <v>44965</v>
      </c>
      <c r="S423" s="51">
        <v>45009</v>
      </c>
      <c r="T423" s="43"/>
      <c r="U423" s="43"/>
      <c r="V423" s="52"/>
      <c r="W423" s="53">
        <v>45028</v>
      </c>
      <c r="X423" s="43"/>
      <c r="Y423" s="55" t="s">
        <v>54</v>
      </c>
      <c r="Z423" s="51">
        <v>45063</v>
      </c>
      <c r="AA423" s="43"/>
    </row>
    <row r="424" spans="1:52">
      <c r="A424" s="43">
        <v>412</v>
      </c>
      <c r="B424" s="33" t="s">
        <v>1093</v>
      </c>
      <c r="C424" s="44" t="s">
        <v>1094</v>
      </c>
      <c r="D424" s="43">
        <v>17396</v>
      </c>
      <c r="E424" s="81" t="s">
        <v>1095</v>
      </c>
      <c r="F424" s="46">
        <v>15504002700212</v>
      </c>
      <c r="G424" s="47" t="s">
        <v>47</v>
      </c>
      <c r="H424" s="48">
        <v>41020</v>
      </c>
      <c r="I424" s="49">
        <v>387</v>
      </c>
      <c r="J424" s="43" t="s">
        <v>37</v>
      </c>
      <c r="K424" s="48">
        <v>7793.8</v>
      </c>
      <c r="L424" s="48">
        <v>7793.8</v>
      </c>
      <c r="M424" s="48">
        <v>10796.34</v>
      </c>
      <c r="N424" s="48">
        <f t="shared" si="12"/>
        <v>26383.940000000002</v>
      </c>
      <c r="O424" s="50">
        <v>10000</v>
      </c>
      <c r="P424" s="48">
        <f t="shared" si="13"/>
        <v>36383.94</v>
      </c>
      <c r="Q424" s="43" t="s">
        <v>1095</v>
      </c>
      <c r="R424" s="51">
        <v>44874</v>
      </c>
      <c r="S424" s="51">
        <v>44641</v>
      </c>
      <c r="T424" s="51"/>
      <c r="U424" s="43"/>
      <c r="V424" s="52"/>
      <c r="W424" s="53">
        <v>45043</v>
      </c>
      <c r="X424" s="43"/>
      <c r="Y424" s="120" t="s">
        <v>1096</v>
      </c>
      <c r="Z424" s="51">
        <v>45064</v>
      </c>
      <c r="AA424" s="43"/>
    </row>
    <row r="425" spans="1:52">
      <c r="A425" s="44">
        <v>413</v>
      </c>
      <c r="B425" s="33" t="s">
        <v>1097</v>
      </c>
      <c r="C425" s="44" t="s">
        <v>1098</v>
      </c>
      <c r="D425" s="43">
        <v>9768</v>
      </c>
      <c r="E425" s="81" t="s">
        <v>165</v>
      </c>
      <c r="F425" s="46">
        <v>15504002900405</v>
      </c>
      <c r="G425" s="43" t="s">
        <v>36</v>
      </c>
      <c r="H425" s="48">
        <v>6600</v>
      </c>
      <c r="I425" s="43">
        <v>8571</v>
      </c>
      <c r="J425" s="43" t="s">
        <v>37</v>
      </c>
      <c r="K425" s="48">
        <f>990+264</f>
        <v>1254</v>
      </c>
      <c r="L425" s="48">
        <v>1254</v>
      </c>
      <c r="M425" s="48">
        <f>1425.6+311.52</f>
        <v>1737.12</v>
      </c>
      <c r="N425" s="48">
        <f t="shared" si="12"/>
        <v>4245.12</v>
      </c>
      <c r="O425" s="50">
        <v>10000</v>
      </c>
      <c r="P425" s="48">
        <f t="shared" si="13"/>
        <v>14245.119999999999</v>
      </c>
      <c r="Q425" s="43" t="s">
        <v>165</v>
      </c>
      <c r="R425" s="51">
        <v>44959</v>
      </c>
      <c r="S425" s="51">
        <v>45007</v>
      </c>
      <c r="T425" s="43"/>
      <c r="U425" s="43"/>
      <c r="V425" s="52"/>
      <c r="W425" s="53">
        <v>45016</v>
      </c>
      <c r="X425" s="43"/>
      <c r="Z425" s="43" t="s">
        <v>49</v>
      </c>
      <c r="AA425" s="51">
        <v>45058</v>
      </c>
    </row>
    <row r="426" spans="1:52">
      <c r="A426" s="44">
        <v>414</v>
      </c>
      <c r="B426" s="33" t="s">
        <v>1099</v>
      </c>
      <c r="C426" s="44" t="s">
        <v>1100</v>
      </c>
      <c r="D426" s="43" t="s">
        <v>1101</v>
      </c>
      <c r="E426" s="81" t="s">
        <v>165</v>
      </c>
      <c r="F426" s="46">
        <v>15504002900314</v>
      </c>
      <c r="G426" s="43" t="s">
        <v>1102</v>
      </c>
      <c r="H426" s="48">
        <v>2930</v>
      </c>
      <c r="I426" s="43">
        <v>3804</v>
      </c>
      <c r="J426" s="43" t="s">
        <v>115</v>
      </c>
      <c r="K426" s="48">
        <v>468.8</v>
      </c>
      <c r="L426" s="48">
        <v>468.8</v>
      </c>
      <c r="M426" s="48">
        <v>644.37</v>
      </c>
      <c r="N426" s="48">
        <f t="shared" si="12"/>
        <v>1581.97</v>
      </c>
      <c r="O426" s="50">
        <v>10000</v>
      </c>
      <c r="P426" s="48">
        <f t="shared" si="13"/>
        <v>11581.97</v>
      </c>
      <c r="Q426" s="43" t="s">
        <v>165</v>
      </c>
      <c r="R426" s="51">
        <v>44959</v>
      </c>
      <c r="S426" s="51">
        <v>45007</v>
      </c>
      <c r="T426" s="43"/>
      <c r="U426" s="43"/>
      <c r="V426" s="52"/>
      <c r="W426" s="53">
        <v>45016</v>
      </c>
      <c r="X426" s="43"/>
      <c r="Z426" s="43" t="s">
        <v>49</v>
      </c>
      <c r="AA426" s="43"/>
    </row>
    <row r="427" spans="1:52">
      <c r="A427" s="43">
        <v>415</v>
      </c>
      <c r="B427" s="33" t="s">
        <v>1103</v>
      </c>
      <c r="C427" s="44" t="s">
        <v>1104</v>
      </c>
      <c r="D427" s="43" t="s">
        <v>1105</v>
      </c>
      <c r="E427" s="81" t="s">
        <v>1106</v>
      </c>
      <c r="F427" s="46">
        <v>15504002000220</v>
      </c>
      <c r="G427" s="47" t="s">
        <v>157</v>
      </c>
      <c r="H427" s="48">
        <v>18140</v>
      </c>
      <c r="I427" s="49">
        <v>9</v>
      </c>
      <c r="J427" s="43" t="s">
        <v>37</v>
      </c>
      <c r="K427" s="48">
        <v>3265.2</v>
      </c>
      <c r="L427" s="48">
        <v>3265.2</v>
      </c>
      <c r="M427" s="48">
        <v>4513.3</v>
      </c>
      <c r="N427" s="48">
        <f t="shared" si="12"/>
        <v>11043.7</v>
      </c>
      <c r="O427" s="50">
        <v>10000</v>
      </c>
      <c r="P427" s="48">
        <f t="shared" si="13"/>
        <v>21043.7</v>
      </c>
      <c r="Q427" s="43" t="s">
        <v>1106</v>
      </c>
      <c r="R427" s="51">
        <v>44880</v>
      </c>
      <c r="S427" s="51"/>
      <c r="T427" s="51"/>
      <c r="U427" s="43"/>
      <c r="V427" s="52"/>
      <c r="W427" s="53">
        <v>45040</v>
      </c>
      <c r="X427" s="43"/>
      <c r="Y427" s="120" t="s">
        <v>1107</v>
      </c>
      <c r="Z427" s="43" t="s">
        <v>267</v>
      </c>
      <c r="AA427" s="43"/>
    </row>
    <row r="428" spans="1:52">
      <c r="A428" s="44">
        <v>416</v>
      </c>
      <c r="B428" s="33" t="s">
        <v>1108</v>
      </c>
      <c r="C428" s="44" t="s">
        <v>1109</v>
      </c>
      <c r="D428" s="43" t="s">
        <v>1110</v>
      </c>
      <c r="E428" s="45" t="s">
        <v>46</v>
      </c>
      <c r="F428" s="46">
        <v>15504007601203</v>
      </c>
      <c r="G428" s="47" t="s">
        <v>47</v>
      </c>
      <c r="H428" s="48">
        <v>9000</v>
      </c>
      <c r="I428" s="49">
        <v>125</v>
      </c>
      <c r="J428" s="43" t="s">
        <v>199</v>
      </c>
      <c r="K428" s="48">
        <v>450</v>
      </c>
      <c r="L428" s="48">
        <v>450</v>
      </c>
      <c r="M428" s="48">
        <v>561.6</v>
      </c>
      <c r="N428" s="48">
        <f t="shared" si="12"/>
        <v>1461.6</v>
      </c>
      <c r="O428" s="50">
        <v>10000</v>
      </c>
      <c r="P428" s="48">
        <f t="shared" si="13"/>
        <v>11461.6</v>
      </c>
      <c r="Q428" s="43" t="s">
        <v>46</v>
      </c>
      <c r="R428" s="51">
        <v>44965</v>
      </c>
      <c r="S428" s="51">
        <v>45013</v>
      </c>
      <c r="T428" s="43"/>
      <c r="U428" s="43"/>
      <c r="V428" s="52"/>
      <c r="W428" s="53">
        <v>45029</v>
      </c>
      <c r="X428" s="43"/>
      <c r="Z428" s="43" t="s">
        <v>54</v>
      </c>
      <c r="AA428" s="43"/>
      <c r="AZ428" s="55">
        <v>10000</v>
      </c>
    </row>
    <row r="429" spans="1:52">
      <c r="A429" s="44">
        <v>417</v>
      </c>
      <c r="B429" s="33" t="s">
        <v>1111</v>
      </c>
      <c r="C429" s="44" t="s">
        <v>1112</v>
      </c>
      <c r="D429" s="43">
        <v>22818</v>
      </c>
      <c r="E429" s="45" t="s">
        <v>46</v>
      </c>
      <c r="F429" s="46">
        <v>15504007602425</v>
      </c>
      <c r="G429" s="47" t="s">
        <v>109</v>
      </c>
      <c r="H429" s="48">
        <v>69190</v>
      </c>
      <c r="I429" s="49">
        <v>961</v>
      </c>
      <c r="J429" s="43" t="s">
        <v>37</v>
      </c>
      <c r="K429" s="48">
        <f>10378.5+2767.6</f>
        <v>13146.1</v>
      </c>
      <c r="L429" s="48">
        <v>13146.1</v>
      </c>
      <c r="M429" s="48">
        <f>14945.1+3321.12</f>
        <v>18266.22</v>
      </c>
      <c r="N429" s="48">
        <f t="shared" si="12"/>
        <v>44558.42</v>
      </c>
      <c r="O429" s="50">
        <v>10000</v>
      </c>
      <c r="P429" s="48">
        <f t="shared" si="13"/>
        <v>54558.42</v>
      </c>
      <c r="Q429" s="43" t="s">
        <v>46</v>
      </c>
      <c r="R429" s="51">
        <v>44965</v>
      </c>
      <c r="S429" s="51">
        <v>45013</v>
      </c>
      <c r="T429" s="43"/>
      <c r="U429" s="43"/>
      <c r="V429" s="52"/>
      <c r="W429" s="53">
        <v>45028</v>
      </c>
      <c r="X429" s="43"/>
      <c r="Z429" s="43" t="s">
        <v>54</v>
      </c>
      <c r="AA429" s="51">
        <v>45062</v>
      </c>
    </row>
    <row r="430" spans="1:52">
      <c r="A430" s="43">
        <v>418</v>
      </c>
      <c r="B430" s="33" t="s">
        <v>1113</v>
      </c>
      <c r="C430" s="44" t="s">
        <v>1114</v>
      </c>
      <c r="D430" s="43" t="s">
        <v>1115</v>
      </c>
      <c r="E430" s="45" t="s">
        <v>1023</v>
      </c>
      <c r="F430" s="46">
        <v>15504003801328</v>
      </c>
      <c r="G430" s="47" t="s">
        <v>36</v>
      </c>
      <c r="H430" s="48">
        <v>9850</v>
      </c>
      <c r="I430" s="49">
        <v>12505</v>
      </c>
      <c r="J430" s="43" t="s">
        <v>37</v>
      </c>
      <c r="K430" s="48">
        <v>1871.5</v>
      </c>
      <c r="L430" s="48">
        <v>1871.5</v>
      </c>
      <c r="M430" s="48">
        <v>2600.4</v>
      </c>
      <c r="N430" s="48">
        <f t="shared" si="12"/>
        <v>6343.4</v>
      </c>
      <c r="O430" s="50">
        <v>10000</v>
      </c>
      <c r="P430" s="48">
        <f t="shared" si="13"/>
        <v>16343.4</v>
      </c>
      <c r="Q430" s="43" t="s">
        <v>1023</v>
      </c>
      <c r="R430" s="51">
        <v>44973</v>
      </c>
      <c r="S430" s="43"/>
      <c r="T430" s="43"/>
      <c r="U430" s="43"/>
      <c r="V430" s="52"/>
      <c r="W430" s="53">
        <v>45016</v>
      </c>
      <c r="X430" s="43"/>
      <c r="Z430" s="43" t="s">
        <v>54</v>
      </c>
      <c r="AA430" s="43"/>
    </row>
    <row r="431" spans="1:52">
      <c r="A431" s="44">
        <v>419</v>
      </c>
      <c r="B431" s="33" t="s">
        <v>1113</v>
      </c>
      <c r="C431" s="44" t="s">
        <v>1116</v>
      </c>
      <c r="D431" s="43" t="s">
        <v>1117</v>
      </c>
      <c r="E431" s="45" t="s">
        <v>1023</v>
      </c>
      <c r="F431" s="46">
        <v>15504003801331</v>
      </c>
      <c r="G431" s="47" t="s">
        <v>36</v>
      </c>
      <c r="H431" s="48">
        <v>5750</v>
      </c>
      <c r="I431" s="49">
        <v>7466</v>
      </c>
      <c r="J431" s="43" t="s">
        <v>37</v>
      </c>
      <c r="K431" s="48">
        <v>1092.5</v>
      </c>
      <c r="L431" s="48">
        <v>1092.5</v>
      </c>
      <c r="M431" s="48">
        <v>1518</v>
      </c>
      <c r="N431" s="48">
        <f t="shared" si="12"/>
        <v>3703</v>
      </c>
      <c r="O431" s="50">
        <v>10000</v>
      </c>
      <c r="P431" s="48">
        <f t="shared" si="13"/>
        <v>13703</v>
      </c>
      <c r="Q431" s="43" t="s">
        <v>1023</v>
      </c>
      <c r="R431" s="51">
        <v>44973</v>
      </c>
      <c r="S431" s="43"/>
      <c r="T431" s="43"/>
      <c r="U431" s="43"/>
      <c r="V431" s="52"/>
      <c r="W431" s="53">
        <v>45016</v>
      </c>
      <c r="X431" s="43"/>
      <c r="Z431" s="43" t="s">
        <v>54</v>
      </c>
      <c r="AA431" s="43"/>
    </row>
    <row r="432" spans="1:52">
      <c r="A432" s="44">
        <v>420</v>
      </c>
      <c r="B432" s="33" t="s">
        <v>1113</v>
      </c>
      <c r="C432" s="44" t="s">
        <v>1118</v>
      </c>
      <c r="D432" s="43" t="s">
        <v>1119</v>
      </c>
      <c r="E432" s="45" t="s">
        <v>1023</v>
      </c>
      <c r="F432" s="46">
        <v>15504003801326</v>
      </c>
      <c r="G432" s="47" t="s">
        <v>36</v>
      </c>
      <c r="H432" s="48">
        <v>600</v>
      </c>
      <c r="I432" s="49">
        <v>777</v>
      </c>
      <c r="J432" s="43" t="s">
        <v>37</v>
      </c>
      <c r="K432" s="48">
        <v>114</v>
      </c>
      <c r="L432" s="48">
        <v>114</v>
      </c>
      <c r="M432" s="48">
        <v>158.4</v>
      </c>
      <c r="N432" s="48">
        <f t="shared" si="12"/>
        <v>386.4</v>
      </c>
      <c r="O432" s="50">
        <v>10000</v>
      </c>
      <c r="P432" s="48">
        <f t="shared" si="13"/>
        <v>10386.4</v>
      </c>
      <c r="Q432" s="43" t="s">
        <v>1023</v>
      </c>
      <c r="R432" s="51">
        <v>44973</v>
      </c>
      <c r="S432" s="43"/>
      <c r="T432" s="43"/>
      <c r="U432" s="43"/>
      <c r="V432" s="52"/>
      <c r="W432" s="53">
        <v>45016</v>
      </c>
      <c r="X432" s="43"/>
      <c r="Z432" s="43" t="s">
        <v>54</v>
      </c>
      <c r="AA432" s="43"/>
    </row>
    <row r="433" spans="1:27">
      <c r="A433" s="43">
        <v>421</v>
      </c>
      <c r="B433" s="33" t="s">
        <v>1113</v>
      </c>
      <c r="C433" s="44" t="s">
        <v>1120</v>
      </c>
      <c r="D433" s="43" t="s">
        <v>1121</v>
      </c>
      <c r="E433" s="45" t="s">
        <v>1023</v>
      </c>
      <c r="F433" s="46">
        <v>15504003801327</v>
      </c>
      <c r="G433" s="47" t="s">
        <v>62</v>
      </c>
      <c r="H433" s="48">
        <v>650</v>
      </c>
      <c r="I433" s="49">
        <v>845</v>
      </c>
      <c r="J433" s="43" t="s">
        <v>37</v>
      </c>
      <c r="K433" s="48">
        <v>123.5</v>
      </c>
      <c r="L433" s="48">
        <v>123.5</v>
      </c>
      <c r="M433" s="48">
        <v>171.6</v>
      </c>
      <c r="N433" s="48">
        <f t="shared" si="12"/>
        <v>418.6</v>
      </c>
      <c r="O433" s="50">
        <v>10000</v>
      </c>
      <c r="P433" s="48">
        <f t="shared" si="13"/>
        <v>10418.6</v>
      </c>
      <c r="Q433" s="43" t="s">
        <v>1023</v>
      </c>
      <c r="R433" s="51">
        <v>44973</v>
      </c>
      <c r="S433" s="43"/>
      <c r="T433" s="43"/>
      <c r="U433" s="43"/>
      <c r="V433" s="52"/>
      <c r="W433" s="53">
        <v>45016</v>
      </c>
      <c r="X433" s="43"/>
      <c r="Z433" s="43" t="s">
        <v>54</v>
      </c>
      <c r="AA433" s="43"/>
    </row>
    <row r="434" spans="1:27">
      <c r="A434" s="44">
        <v>422</v>
      </c>
      <c r="B434" s="33" t="s">
        <v>1122</v>
      </c>
      <c r="C434" s="44" t="s">
        <v>1123</v>
      </c>
      <c r="D434" s="43" t="s">
        <v>1124</v>
      </c>
      <c r="E434" s="45" t="s">
        <v>1023</v>
      </c>
      <c r="F434" s="46">
        <v>15504003800821</v>
      </c>
      <c r="G434" s="47" t="s">
        <v>36</v>
      </c>
      <c r="H434" s="48">
        <v>40800</v>
      </c>
      <c r="I434" s="49">
        <v>34025</v>
      </c>
      <c r="J434" s="43" t="s">
        <v>63</v>
      </c>
      <c r="K434" s="48">
        <v>5712</v>
      </c>
      <c r="L434" s="48">
        <v>5712</v>
      </c>
      <c r="M434" s="48">
        <v>7800.96</v>
      </c>
      <c r="N434" s="48">
        <f t="shared" si="12"/>
        <v>19224.96</v>
      </c>
      <c r="O434" s="50">
        <v>10000</v>
      </c>
      <c r="P434" s="48">
        <f t="shared" si="13"/>
        <v>29224.959999999999</v>
      </c>
      <c r="Q434" s="43" t="s">
        <v>1023</v>
      </c>
      <c r="R434" s="51">
        <v>45002</v>
      </c>
      <c r="S434" s="51">
        <v>44875</v>
      </c>
      <c r="T434" s="51"/>
      <c r="U434" s="43"/>
      <c r="V434" s="52"/>
      <c r="W434" s="53">
        <v>45027</v>
      </c>
      <c r="X434" s="43"/>
      <c r="Y434" s="55" t="s">
        <v>54</v>
      </c>
      <c r="Z434" s="51">
        <v>45064</v>
      </c>
      <c r="AA434" s="43"/>
    </row>
    <row r="435" spans="1:27">
      <c r="A435" s="44">
        <v>423</v>
      </c>
      <c r="B435" s="33" t="s">
        <v>1125</v>
      </c>
      <c r="C435" s="44" t="s">
        <v>1126</v>
      </c>
      <c r="D435" s="43">
        <v>4814</v>
      </c>
      <c r="E435" s="45" t="s">
        <v>1023</v>
      </c>
      <c r="F435" s="46">
        <v>15504003800902</v>
      </c>
      <c r="G435" s="47" t="s">
        <v>36</v>
      </c>
      <c r="H435" s="48">
        <v>16640</v>
      </c>
      <c r="I435" s="49">
        <v>28728</v>
      </c>
      <c r="J435" s="43" t="s">
        <v>37</v>
      </c>
      <c r="K435" s="48">
        <v>3161.6</v>
      </c>
      <c r="L435" s="48">
        <v>3161.6</v>
      </c>
      <c r="M435" s="48">
        <v>4393.0200000000004</v>
      </c>
      <c r="N435" s="48">
        <f t="shared" si="12"/>
        <v>10716.220000000001</v>
      </c>
      <c r="O435" s="50">
        <v>10000</v>
      </c>
      <c r="P435" s="48">
        <f t="shared" si="13"/>
        <v>20716.22</v>
      </c>
      <c r="Q435" s="43" t="s">
        <v>1023</v>
      </c>
      <c r="R435" s="51">
        <v>44973</v>
      </c>
      <c r="S435" s="51">
        <v>44875</v>
      </c>
      <c r="T435" s="51">
        <v>45002</v>
      </c>
      <c r="U435" s="43"/>
      <c r="V435" s="52"/>
      <c r="W435" s="53">
        <v>45016</v>
      </c>
      <c r="X435" s="43"/>
      <c r="Z435" s="43" t="s">
        <v>54</v>
      </c>
      <c r="AA435" s="43"/>
    </row>
    <row r="436" spans="1:27">
      <c r="A436" s="43">
        <v>424</v>
      </c>
      <c r="B436" s="33" t="s">
        <v>1127</v>
      </c>
      <c r="C436" s="44" t="s">
        <v>1128</v>
      </c>
      <c r="D436" s="43" t="s">
        <v>1129</v>
      </c>
      <c r="E436" s="45" t="s">
        <v>1023</v>
      </c>
      <c r="F436" s="46">
        <v>15504003800818</v>
      </c>
      <c r="G436" s="47" t="s">
        <v>36</v>
      </c>
      <c r="H436" s="48">
        <v>22320</v>
      </c>
      <c r="I436" s="49">
        <v>19092</v>
      </c>
      <c r="J436" s="43" t="s">
        <v>37</v>
      </c>
      <c r="K436" s="48">
        <v>4240.8</v>
      </c>
      <c r="L436" s="48">
        <v>4240.8</v>
      </c>
      <c r="M436" s="48">
        <v>5874.5</v>
      </c>
      <c r="N436" s="48">
        <f t="shared" si="12"/>
        <v>14356.1</v>
      </c>
      <c r="O436" s="50">
        <v>10000</v>
      </c>
      <c r="P436" s="48">
        <f t="shared" si="13"/>
        <v>24356.1</v>
      </c>
      <c r="Q436" s="43" t="s">
        <v>1023</v>
      </c>
      <c r="R436" s="51">
        <v>45002</v>
      </c>
      <c r="S436" s="51">
        <v>44875</v>
      </c>
      <c r="T436" s="51"/>
      <c r="U436" s="43"/>
      <c r="V436" s="52"/>
      <c r="W436" s="53">
        <v>37357</v>
      </c>
      <c r="X436" s="43"/>
      <c r="Y436" s="55" t="s">
        <v>54</v>
      </c>
      <c r="Z436" s="51">
        <v>45064</v>
      </c>
      <c r="AA436" s="43"/>
    </row>
    <row r="437" spans="1:27">
      <c r="A437" s="44">
        <v>425</v>
      </c>
      <c r="B437" s="33" t="s">
        <v>1127</v>
      </c>
      <c r="C437" s="44" t="s">
        <v>1130</v>
      </c>
      <c r="D437" s="43" t="s">
        <v>1124</v>
      </c>
      <c r="E437" s="45" t="s">
        <v>1023</v>
      </c>
      <c r="F437" s="46">
        <v>15504003800820</v>
      </c>
      <c r="G437" s="47" t="s">
        <v>36</v>
      </c>
      <c r="H437" s="48">
        <v>16630</v>
      </c>
      <c r="I437" s="49">
        <v>11517</v>
      </c>
      <c r="J437" s="43" t="s">
        <v>37</v>
      </c>
      <c r="K437" s="48">
        <v>3159.7</v>
      </c>
      <c r="L437" s="48">
        <v>3159.7</v>
      </c>
      <c r="M437" s="48">
        <v>4377.1400000000003</v>
      </c>
      <c r="N437" s="48">
        <f t="shared" si="12"/>
        <v>10696.54</v>
      </c>
      <c r="O437" s="50">
        <v>10000</v>
      </c>
      <c r="P437" s="48">
        <f t="shared" si="13"/>
        <v>20696.54</v>
      </c>
      <c r="Q437" s="43" t="s">
        <v>1023</v>
      </c>
      <c r="R437" s="51">
        <v>45002</v>
      </c>
      <c r="S437" s="51">
        <v>44875</v>
      </c>
      <c r="T437" s="51"/>
      <c r="U437" s="43"/>
      <c r="V437" s="52"/>
      <c r="W437" s="53">
        <v>45027</v>
      </c>
      <c r="X437" s="43"/>
      <c r="Y437" s="55" t="s">
        <v>54</v>
      </c>
      <c r="Z437" s="51">
        <v>45064</v>
      </c>
      <c r="AA437" s="43"/>
    </row>
    <row r="438" spans="1:27">
      <c r="A438" s="44">
        <v>426</v>
      </c>
      <c r="B438" s="33" t="s">
        <v>1131</v>
      </c>
      <c r="C438" s="44" t="s">
        <v>1132</v>
      </c>
      <c r="D438" s="43" t="s">
        <v>1133</v>
      </c>
      <c r="E438" s="45" t="s">
        <v>1023</v>
      </c>
      <c r="F438" s="46">
        <v>15504003800504</v>
      </c>
      <c r="G438" s="47" t="s">
        <v>36</v>
      </c>
      <c r="H438" s="48">
        <v>102970</v>
      </c>
      <c r="I438" s="49">
        <v>173884</v>
      </c>
      <c r="J438" s="43" t="s">
        <v>1134</v>
      </c>
      <c r="K438" s="48">
        <v>19564.3</v>
      </c>
      <c r="L438" s="48">
        <v>19564.3</v>
      </c>
      <c r="M438" s="48">
        <v>27101.58</v>
      </c>
      <c r="N438" s="48">
        <f t="shared" si="12"/>
        <v>66230.179999999993</v>
      </c>
      <c r="O438" s="50">
        <v>10000</v>
      </c>
      <c r="P438" s="48">
        <f t="shared" si="13"/>
        <v>76230.179999999993</v>
      </c>
      <c r="Q438" s="43" t="s">
        <v>1023</v>
      </c>
      <c r="R438" s="51">
        <v>45002</v>
      </c>
      <c r="S438" s="51">
        <v>44875</v>
      </c>
      <c r="T438" s="51"/>
      <c r="U438" s="43"/>
      <c r="V438" s="52"/>
      <c r="W438" s="53">
        <v>45027</v>
      </c>
      <c r="X438" s="43"/>
      <c r="Y438" s="55" t="s">
        <v>54</v>
      </c>
      <c r="Z438" s="51">
        <v>45064</v>
      </c>
      <c r="AA438" s="43"/>
    </row>
    <row r="439" spans="1:27">
      <c r="A439" s="43">
        <v>427</v>
      </c>
      <c r="B439" s="33" t="s">
        <v>1131</v>
      </c>
      <c r="C439" s="44" t="s">
        <v>1135</v>
      </c>
      <c r="D439" s="43" t="s">
        <v>1136</v>
      </c>
      <c r="E439" s="45" t="s">
        <v>1023</v>
      </c>
      <c r="F439" s="46">
        <v>15504003800807</v>
      </c>
      <c r="G439" s="47" t="s">
        <v>36</v>
      </c>
      <c r="H439" s="48">
        <v>38750</v>
      </c>
      <c r="I439" s="49">
        <v>34774</v>
      </c>
      <c r="J439" s="43" t="s">
        <v>1137</v>
      </c>
      <c r="K439" s="48">
        <v>7362.5</v>
      </c>
      <c r="L439" s="48">
        <v>7362.5</v>
      </c>
      <c r="M439" s="48">
        <v>10199</v>
      </c>
      <c r="N439" s="48">
        <f t="shared" si="12"/>
        <v>24924</v>
      </c>
      <c r="O439" s="50">
        <v>10000</v>
      </c>
      <c r="P439" s="48">
        <f t="shared" si="13"/>
        <v>34924</v>
      </c>
      <c r="Q439" s="43" t="s">
        <v>1023</v>
      </c>
      <c r="R439" s="51">
        <v>45002</v>
      </c>
      <c r="S439" s="51">
        <v>44875</v>
      </c>
      <c r="T439" s="51"/>
      <c r="U439" s="43"/>
      <c r="V439" s="52"/>
      <c r="W439" s="53">
        <v>45027</v>
      </c>
      <c r="X439" s="43"/>
      <c r="Y439" s="55" t="s">
        <v>54</v>
      </c>
      <c r="Z439" s="51">
        <v>45064</v>
      </c>
      <c r="AA439" s="43"/>
    </row>
    <row r="440" spans="1:27">
      <c r="A440" s="44">
        <v>428</v>
      </c>
      <c r="B440" s="33" t="s">
        <v>1138</v>
      </c>
      <c r="C440" s="44" t="s">
        <v>1139</v>
      </c>
      <c r="D440" s="43">
        <v>27501</v>
      </c>
      <c r="E440" s="45" t="s">
        <v>215</v>
      </c>
      <c r="F440" s="46">
        <v>15504010103215</v>
      </c>
      <c r="G440" s="47" t="s">
        <v>68</v>
      </c>
      <c r="H440" s="48">
        <v>4210</v>
      </c>
      <c r="I440" s="49">
        <v>117</v>
      </c>
      <c r="J440" s="43" t="s">
        <v>37</v>
      </c>
      <c r="K440" s="48">
        <f>631.5+168.4</f>
        <v>799.9</v>
      </c>
      <c r="L440" s="48">
        <v>799.9</v>
      </c>
      <c r="M440" s="48">
        <f>909.3+202.8</f>
        <v>1112.0999999999999</v>
      </c>
      <c r="N440" s="48">
        <f t="shared" si="12"/>
        <v>2711.8999999999996</v>
      </c>
      <c r="O440" s="50">
        <v>10000</v>
      </c>
      <c r="P440" s="48">
        <f t="shared" si="13"/>
        <v>12711.9</v>
      </c>
      <c r="Q440" s="43" t="s">
        <v>215</v>
      </c>
      <c r="R440" s="51">
        <v>44977</v>
      </c>
      <c r="S440" s="51">
        <v>45008</v>
      </c>
      <c r="T440" s="43"/>
      <c r="U440" s="43"/>
      <c r="V440" s="52"/>
      <c r="W440" s="53">
        <v>45020</v>
      </c>
      <c r="X440" s="43"/>
      <c r="Z440" s="43" t="s">
        <v>54</v>
      </c>
      <c r="AA440" s="43"/>
    </row>
    <row r="441" spans="1:27" s="67" customFormat="1">
      <c r="A441" s="44">
        <v>429</v>
      </c>
      <c r="B441" s="56" t="s">
        <v>1138</v>
      </c>
      <c r="C441" s="44" t="s">
        <v>1140</v>
      </c>
      <c r="D441" s="70" t="s">
        <v>1141</v>
      </c>
      <c r="E441" s="68" t="s">
        <v>215</v>
      </c>
      <c r="F441" s="69">
        <v>15504010103216</v>
      </c>
      <c r="G441" s="59" t="s">
        <v>68</v>
      </c>
      <c r="H441" s="60">
        <v>9650</v>
      </c>
      <c r="I441" s="61">
        <v>268</v>
      </c>
      <c r="J441" s="44" t="s">
        <v>37</v>
      </c>
      <c r="K441" s="60">
        <f>1447.5+386</f>
        <v>1833.5</v>
      </c>
      <c r="L441" s="60">
        <v>1833.5</v>
      </c>
      <c r="M441" s="60">
        <f>2084.4+463.2</f>
        <v>2547.6</v>
      </c>
      <c r="N441" s="60">
        <f t="shared" si="12"/>
        <v>6214.6</v>
      </c>
      <c r="O441" s="62">
        <v>10000</v>
      </c>
      <c r="P441" s="60">
        <f t="shared" si="13"/>
        <v>16214.6</v>
      </c>
      <c r="Q441" s="44" t="s">
        <v>215</v>
      </c>
      <c r="R441" s="63">
        <v>44977</v>
      </c>
      <c r="S441" s="63">
        <v>45008</v>
      </c>
      <c r="T441" s="44"/>
      <c r="U441" s="44"/>
      <c r="V441" s="64"/>
      <c r="W441" s="65">
        <v>45020</v>
      </c>
      <c r="X441" s="44"/>
      <c r="Z441" s="44" t="s">
        <v>54</v>
      </c>
      <c r="AA441" s="44"/>
    </row>
    <row r="442" spans="1:27" s="67" customFormat="1">
      <c r="A442" s="43">
        <v>430</v>
      </c>
      <c r="B442" s="56" t="s">
        <v>1142</v>
      </c>
      <c r="C442" s="44" t="s">
        <v>1143</v>
      </c>
      <c r="D442" s="44" t="s">
        <v>1144</v>
      </c>
      <c r="E442" s="100" t="s">
        <v>211</v>
      </c>
      <c r="F442" s="69">
        <v>15504008300306</v>
      </c>
      <c r="G442" s="59" t="s">
        <v>36</v>
      </c>
      <c r="H442" s="60">
        <v>18650</v>
      </c>
      <c r="I442" s="61">
        <v>53071</v>
      </c>
      <c r="J442" s="44" t="s">
        <v>37</v>
      </c>
      <c r="K442" s="60">
        <v>3543.5</v>
      </c>
      <c r="L442" s="60">
        <v>3543.5</v>
      </c>
      <c r="M442" s="60">
        <v>4908.68</v>
      </c>
      <c r="N442" s="60">
        <f t="shared" si="12"/>
        <v>11995.68</v>
      </c>
      <c r="O442" s="62">
        <v>10000</v>
      </c>
      <c r="P442" s="60">
        <f t="shared" si="13"/>
        <v>21995.68</v>
      </c>
      <c r="Q442" s="44" t="s">
        <v>211</v>
      </c>
      <c r="R442" s="63">
        <v>44901</v>
      </c>
      <c r="S442" s="63">
        <v>45015</v>
      </c>
      <c r="T442" s="63"/>
      <c r="U442" s="44"/>
      <c r="V442" s="64"/>
      <c r="W442" s="65"/>
      <c r="X442" s="44"/>
      <c r="Y442" s="67" t="s">
        <v>54</v>
      </c>
      <c r="Z442" s="44"/>
      <c r="AA442" s="44"/>
    </row>
    <row r="443" spans="1:27" s="67" customFormat="1">
      <c r="A443" s="44">
        <v>431</v>
      </c>
      <c r="B443" s="56" t="s">
        <v>1145</v>
      </c>
      <c r="C443" s="44" t="s">
        <v>1146</v>
      </c>
      <c r="D443" s="44" t="s">
        <v>1147</v>
      </c>
      <c r="E443" s="100" t="s">
        <v>211</v>
      </c>
      <c r="F443" s="69">
        <v>15504008300115</v>
      </c>
      <c r="G443" s="59" t="s">
        <v>36</v>
      </c>
      <c r="H443" s="60">
        <v>17710</v>
      </c>
      <c r="I443" s="61">
        <v>34073</v>
      </c>
      <c r="J443" s="44" t="s">
        <v>37</v>
      </c>
      <c r="K443" s="60">
        <v>3364.9</v>
      </c>
      <c r="L443" s="60">
        <v>3364.9</v>
      </c>
      <c r="M443" s="60">
        <v>4661.2</v>
      </c>
      <c r="N443" s="60">
        <f t="shared" si="12"/>
        <v>11391</v>
      </c>
      <c r="O443" s="62">
        <v>10000</v>
      </c>
      <c r="P443" s="60">
        <f t="shared" si="13"/>
        <v>21391</v>
      </c>
      <c r="Q443" s="44" t="s">
        <v>211</v>
      </c>
      <c r="R443" s="63">
        <v>44901</v>
      </c>
      <c r="S443" s="63">
        <v>45015</v>
      </c>
      <c r="T443" s="63"/>
      <c r="U443" s="44"/>
      <c r="V443" s="64"/>
      <c r="W443" s="65"/>
      <c r="X443" s="44"/>
      <c r="Y443" s="67" t="s">
        <v>54</v>
      </c>
      <c r="Z443" s="63">
        <v>45069</v>
      </c>
      <c r="AA443" s="44"/>
    </row>
    <row r="444" spans="1:27" s="67" customFormat="1">
      <c r="A444" s="44">
        <v>432</v>
      </c>
      <c r="B444" s="56" t="s">
        <v>1148</v>
      </c>
      <c r="C444" s="44" t="s">
        <v>1149</v>
      </c>
      <c r="D444" s="44" t="s">
        <v>1150</v>
      </c>
      <c r="E444" s="68" t="s">
        <v>82</v>
      </c>
      <c r="F444" s="69">
        <v>15504004500503</v>
      </c>
      <c r="G444" s="59" t="s">
        <v>36</v>
      </c>
      <c r="H444" s="60">
        <v>12830</v>
      </c>
      <c r="I444" s="61">
        <v>4400</v>
      </c>
      <c r="J444" s="44" t="s">
        <v>58</v>
      </c>
      <c r="K444" s="60">
        <v>1924.5</v>
      </c>
      <c r="L444" s="60">
        <v>1924.5</v>
      </c>
      <c r="M444" s="60">
        <v>2648.22</v>
      </c>
      <c r="N444" s="60">
        <f t="shared" si="12"/>
        <v>6497.2199999999993</v>
      </c>
      <c r="O444" s="62">
        <v>10000</v>
      </c>
      <c r="P444" s="60">
        <f t="shared" si="13"/>
        <v>16497.22</v>
      </c>
      <c r="Q444" s="44" t="s">
        <v>82</v>
      </c>
      <c r="R444" s="63">
        <v>45002</v>
      </c>
      <c r="S444" s="63">
        <v>44873</v>
      </c>
      <c r="T444" s="63"/>
      <c r="U444" s="44"/>
      <c r="V444" s="64"/>
      <c r="W444" s="65">
        <v>45016</v>
      </c>
      <c r="X444" s="44"/>
      <c r="Z444" s="44" t="s">
        <v>54</v>
      </c>
      <c r="AA444" s="44"/>
    </row>
    <row r="445" spans="1:27" s="126" customFormat="1" ht="30" customHeight="1">
      <c r="A445" s="43">
        <v>433</v>
      </c>
      <c r="B445" s="80" t="s">
        <v>1151</v>
      </c>
      <c r="C445" s="70" t="s">
        <v>1152</v>
      </c>
      <c r="D445" s="117" t="s">
        <v>1153</v>
      </c>
      <c r="E445" s="91" t="s">
        <v>222</v>
      </c>
      <c r="F445" s="121">
        <v>15504004801622</v>
      </c>
      <c r="G445" s="101" t="s">
        <v>1154</v>
      </c>
      <c r="H445" s="50">
        <v>4200</v>
      </c>
      <c r="I445" s="122">
        <v>150</v>
      </c>
      <c r="J445" s="117" t="s">
        <v>315</v>
      </c>
      <c r="K445" s="50">
        <v>798</v>
      </c>
      <c r="L445" s="50">
        <v>798</v>
      </c>
      <c r="M445" s="50">
        <v>1105.44</v>
      </c>
      <c r="N445" s="50">
        <f t="shared" si="12"/>
        <v>2701.44</v>
      </c>
      <c r="O445" s="50">
        <v>10000</v>
      </c>
      <c r="P445" s="50">
        <f t="shared" si="13"/>
        <v>12701.44</v>
      </c>
      <c r="Q445" s="117" t="s">
        <v>222</v>
      </c>
      <c r="R445" s="123">
        <v>44984</v>
      </c>
      <c r="S445" s="123">
        <v>45006</v>
      </c>
      <c r="T445" s="117"/>
      <c r="U445" s="117"/>
      <c r="V445" s="124"/>
      <c r="W445" s="125">
        <v>45034</v>
      </c>
      <c r="X445" s="117"/>
      <c r="Y445" s="126" t="s">
        <v>54</v>
      </c>
      <c r="Z445" s="117"/>
      <c r="AA445" s="117"/>
    </row>
    <row r="446" spans="1:27">
      <c r="A446" s="44">
        <v>434</v>
      </c>
      <c r="B446" s="33" t="s">
        <v>1155</v>
      </c>
      <c r="C446" s="44" t="s">
        <v>1156</v>
      </c>
      <c r="D446" s="43">
        <v>17790</v>
      </c>
      <c r="E446" s="45" t="s">
        <v>247</v>
      </c>
      <c r="F446" s="46">
        <v>15504009000301</v>
      </c>
      <c r="G446" s="47" t="s">
        <v>36</v>
      </c>
      <c r="H446" s="48">
        <v>33980</v>
      </c>
      <c r="I446" s="49">
        <v>45568</v>
      </c>
      <c r="J446" s="43" t="s">
        <v>37</v>
      </c>
      <c r="K446" s="48">
        <v>6456.2</v>
      </c>
      <c r="L446" s="48">
        <v>6456.2</v>
      </c>
      <c r="M446" s="48">
        <v>8943.66</v>
      </c>
      <c r="N446" s="48">
        <f t="shared" si="12"/>
        <v>21856.059999999998</v>
      </c>
      <c r="O446" s="50">
        <v>10000</v>
      </c>
      <c r="P446" s="48">
        <f t="shared" si="13"/>
        <v>31856.059999999998</v>
      </c>
      <c r="Q446" s="43" t="s">
        <v>247</v>
      </c>
      <c r="R446" s="51">
        <v>44986</v>
      </c>
      <c r="S446" s="51">
        <v>45007</v>
      </c>
      <c r="T446" s="43"/>
      <c r="U446" s="43"/>
      <c r="V446" s="52"/>
      <c r="W446" s="53">
        <v>45036</v>
      </c>
      <c r="X446" s="43"/>
      <c r="Z446" s="51">
        <v>45068</v>
      </c>
      <c r="AA446" s="43"/>
    </row>
    <row r="447" spans="1:27">
      <c r="A447" s="44">
        <v>435</v>
      </c>
      <c r="B447" s="33" t="s">
        <v>1157</v>
      </c>
      <c r="C447" s="44" t="s">
        <v>1158</v>
      </c>
      <c r="D447" s="43" t="s">
        <v>1159</v>
      </c>
      <c r="E447" s="45" t="s">
        <v>165</v>
      </c>
      <c r="F447" s="46">
        <v>15504002900402</v>
      </c>
      <c r="G447" s="43" t="s">
        <v>36</v>
      </c>
      <c r="H447" s="48">
        <v>620</v>
      </c>
      <c r="I447" s="43">
        <v>822</v>
      </c>
      <c r="J447" s="43" t="s">
        <v>37</v>
      </c>
      <c r="K447" s="48">
        <v>117.8</v>
      </c>
      <c r="L447" s="48">
        <v>117.8</v>
      </c>
      <c r="M447" s="48">
        <v>163.06</v>
      </c>
      <c r="N447" s="48">
        <f t="shared" si="12"/>
        <v>398.65999999999997</v>
      </c>
      <c r="O447" s="50">
        <v>10000</v>
      </c>
      <c r="P447" s="48">
        <f t="shared" si="13"/>
        <v>10398.66</v>
      </c>
      <c r="Q447" s="43" t="s">
        <v>165</v>
      </c>
      <c r="R447" s="51">
        <v>44953</v>
      </c>
      <c r="S447" s="51">
        <v>45007</v>
      </c>
      <c r="T447" s="43"/>
      <c r="U447" s="43"/>
      <c r="V447" s="52"/>
      <c r="W447" s="53">
        <v>37349</v>
      </c>
      <c r="X447" s="43"/>
      <c r="Z447" s="43" t="s">
        <v>49</v>
      </c>
      <c r="AA447" s="43"/>
    </row>
    <row r="448" spans="1:27">
      <c r="A448" s="43">
        <v>436</v>
      </c>
      <c r="B448" s="33" t="s">
        <v>1157</v>
      </c>
      <c r="C448" s="44" t="s">
        <v>1160</v>
      </c>
      <c r="D448" s="43" t="s">
        <v>1161</v>
      </c>
      <c r="E448" s="45" t="s">
        <v>165</v>
      </c>
      <c r="F448" s="46">
        <v>15504002900218</v>
      </c>
      <c r="G448" s="43" t="s">
        <v>1162</v>
      </c>
      <c r="H448" s="48">
        <v>5010</v>
      </c>
      <c r="I448" s="43">
        <v>6087</v>
      </c>
      <c r="J448" s="43" t="s">
        <v>74</v>
      </c>
      <c r="K448" s="48">
        <v>551.1</v>
      </c>
      <c r="L448" s="48">
        <v>551.1</v>
      </c>
      <c r="M448" s="48">
        <v>741.44</v>
      </c>
      <c r="N448" s="48">
        <f t="shared" si="12"/>
        <v>1843.64</v>
      </c>
      <c r="O448" s="50">
        <v>10000</v>
      </c>
      <c r="P448" s="48">
        <f t="shared" si="13"/>
        <v>11843.64</v>
      </c>
      <c r="Q448" s="43" t="s">
        <v>165</v>
      </c>
      <c r="R448" s="51">
        <v>44953</v>
      </c>
      <c r="S448" s="51">
        <v>45007</v>
      </c>
      <c r="T448" s="43"/>
      <c r="U448" s="43"/>
      <c r="V448" s="52"/>
      <c r="W448" s="53">
        <v>37349</v>
      </c>
      <c r="X448" s="43"/>
      <c r="Z448" s="43" t="s">
        <v>49</v>
      </c>
      <c r="AA448" s="43"/>
    </row>
    <row r="449" spans="1:27">
      <c r="A449" s="44">
        <v>437</v>
      </c>
      <c r="B449" s="33" t="s">
        <v>1157</v>
      </c>
      <c r="C449" s="44" t="s">
        <v>1163</v>
      </c>
      <c r="D449" s="43" t="s">
        <v>1164</v>
      </c>
      <c r="E449" s="45" t="s">
        <v>165</v>
      </c>
      <c r="F449" s="46">
        <v>15504002900226</v>
      </c>
      <c r="G449" s="43" t="s">
        <v>1165</v>
      </c>
      <c r="H449" s="48">
        <v>4960</v>
      </c>
      <c r="I449" s="43">
        <v>118</v>
      </c>
      <c r="J449" s="43" t="s">
        <v>74</v>
      </c>
      <c r="K449" s="48">
        <v>545.6</v>
      </c>
      <c r="L449" s="48">
        <v>545.6</v>
      </c>
      <c r="M449" s="48">
        <v>734.04</v>
      </c>
      <c r="N449" s="48">
        <f t="shared" si="12"/>
        <v>1825.24</v>
      </c>
      <c r="O449" s="50">
        <v>10000</v>
      </c>
      <c r="P449" s="48">
        <f t="shared" si="13"/>
        <v>11825.24</v>
      </c>
      <c r="Q449" s="43" t="s">
        <v>165</v>
      </c>
      <c r="R449" s="51">
        <v>44953</v>
      </c>
      <c r="S449" s="51">
        <v>45007</v>
      </c>
      <c r="T449" s="43"/>
      <c r="U449" s="43"/>
      <c r="V449" s="52"/>
      <c r="W449" s="53">
        <v>45019</v>
      </c>
      <c r="X449" s="43"/>
      <c r="Z449" s="43" t="s">
        <v>49</v>
      </c>
      <c r="AA449" s="43"/>
    </row>
    <row r="450" spans="1:27">
      <c r="A450" s="44">
        <v>438</v>
      </c>
      <c r="B450" s="33" t="s">
        <v>1157</v>
      </c>
      <c r="C450" s="44" t="s">
        <v>1166</v>
      </c>
      <c r="D450" s="43" t="s">
        <v>1167</v>
      </c>
      <c r="E450" s="45" t="s">
        <v>165</v>
      </c>
      <c r="F450" s="46">
        <v>15504002900205</v>
      </c>
      <c r="G450" s="43" t="s">
        <v>1165</v>
      </c>
      <c r="H450" s="48">
        <v>550</v>
      </c>
      <c r="I450" s="43">
        <v>667</v>
      </c>
      <c r="J450" s="43" t="s">
        <v>74</v>
      </c>
      <c r="K450" s="48">
        <v>60.5</v>
      </c>
      <c r="L450" s="48">
        <v>60.5</v>
      </c>
      <c r="M450" s="48">
        <v>81.400000000000006</v>
      </c>
      <c r="N450" s="48">
        <f t="shared" si="12"/>
        <v>202.4</v>
      </c>
      <c r="O450" s="50">
        <v>10000</v>
      </c>
      <c r="P450" s="48">
        <f t="shared" si="13"/>
        <v>10202.4</v>
      </c>
      <c r="Q450" s="43" t="s">
        <v>165</v>
      </c>
      <c r="R450" s="51">
        <v>44953</v>
      </c>
      <c r="S450" s="51">
        <v>45007</v>
      </c>
      <c r="T450" s="43"/>
      <c r="U450" s="43"/>
      <c r="V450" s="52"/>
      <c r="W450" s="53">
        <v>45019</v>
      </c>
      <c r="X450" s="43"/>
      <c r="Z450" s="43" t="s">
        <v>49</v>
      </c>
      <c r="AA450" s="43"/>
    </row>
    <row r="451" spans="1:27">
      <c r="A451" s="43">
        <v>439</v>
      </c>
      <c r="B451" s="33" t="s">
        <v>1157</v>
      </c>
      <c r="C451" s="44" t="s">
        <v>1168</v>
      </c>
      <c r="D451" s="43" t="s">
        <v>1169</v>
      </c>
      <c r="E451" s="45" t="s">
        <v>165</v>
      </c>
      <c r="F451" s="46">
        <v>15504002900212</v>
      </c>
      <c r="G451" s="43" t="s">
        <v>36</v>
      </c>
      <c r="H451" s="48">
        <v>120</v>
      </c>
      <c r="I451" s="43">
        <v>193</v>
      </c>
      <c r="J451" s="43" t="s">
        <v>37</v>
      </c>
      <c r="K451" s="48">
        <v>22.8</v>
      </c>
      <c r="L451" s="48">
        <v>22.8</v>
      </c>
      <c r="M451" s="48">
        <v>31.46</v>
      </c>
      <c r="N451" s="48">
        <f t="shared" si="12"/>
        <v>77.06</v>
      </c>
      <c r="O451" s="50">
        <v>10000</v>
      </c>
      <c r="P451" s="48">
        <f t="shared" si="13"/>
        <v>10077.06</v>
      </c>
      <c r="Q451" s="43" t="s">
        <v>165</v>
      </c>
      <c r="R451" s="51">
        <v>44953</v>
      </c>
      <c r="S451" s="51">
        <v>45007</v>
      </c>
      <c r="T451" s="43"/>
      <c r="U451" s="43"/>
      <c r="V451" s="52"/>
      <c r="W451" s="53">
        <v>45019</v>
      </c>
      <c r="X451" s="43"/>
      <c r="Z451" s="43" t="s">
        <v>49</v>
      </c>
      <c r="AA451" s="43"/>
    </row>
    <row r="452" spans="1:27">
      <c r="A452" s="44">
        <v>440</v>
      </c>
      <c r="B452" s="33" t="s">
        <v>1157</v>
      </c>
      <c r="C452" s="44" t="s">
        <v>1170</v>
      </c>
      <c r="D452" s="43" t="s">
        <v>1171</v>
      </c>
      <c r="E452" s="45" t="s">
        <v>165</v>
      </c>
      <c r="F452" s="46">
        <v>15504002900211</v>
      </c>
      <c r="H452" s="48">
        <v>1420</v>
      </c>
      <c r="I452" s="43">
        <v>1891</v>
      </c>
      <c r="J452" s="43" t="s">
        <v>37</v>
      </c>
      <c r="K452" s="48">
        <v>269.8</v>
      </c>
      <c r="L452" s="48">
        <v>269.8</v>
      </c>
      <c r="M452" s="48">
        <v>373.62</v>
      </c>
      <c r="N452" s="48">
        <f t="shared" si="12"/>
        <v>913.22</v>
      </c>
      <c r="O452" s="50">
        <v>10000</v>
      </c>
      <c r="P452" s="48">
        <f t="shared" si="13"/>
        <v>10913.22</v>
      </c>
      <c r="Q452" s="43" t="s">
        <v>165</v>
      </c>
      <c r="R452" s="51">
        <v>44953</v>
      </c>
      <c r="S452" s="51">
        <v>45007</v>
      </c>
      <c r="T452" s="43"/>
      <c r="U452" s="43"/>
      <c r="V452" s="52"/>
      <c r="W452" s="53">
        <v>45019</v>
      </c>
      <c r="X452" s="43"/>
      <c r="Z452" s="43" t="s">
        <v>54</v>
      </c>
      <c r="AA452" s="43"/>
    </row>
    <row r="453" spans="1:27">
      <c r="A453" s="44">
        <v>441</v>
      </c>
      <c r="B453" s="33" t="s">
        <v>1157</v>
      </c>
      <c r="C453" s="44" t="s">
        <v>1172</v>
      </c>
      <c r="D453" s="43" t="s">
        <v>1173</v>
      </c>
      <c r="E453" s="45" t="s">
        <v>165</v>
      </c>
      <c r="F453" s="46">
        <v>15504002900210</v>
      </c>
      <c r="G453" s="43" t="s">
        <v>1174</v>
      </c>
      <c r="H453" s="48">
        <v>300</v>
      </c>
      <c r="I453" s="43">
        <v>495</v>
      </c>
      <c r="J453" s="43" t="s">
        <v>37</v>
      </c>
      <c r="K453" s="48">
        <v>57</v>
      </c>
      <c r="L453" s="48">
        <v>57</v>
      </c>
      <c r="M453" s="48">
        <v>78.959999999999994</v>
      </c>
      <c r="N453" s="48">
        <f t="shared" si="12"/>
        <v>192.95999999999998</v>
      </c>
      <c r="O453" s="50">
        <v>10000</v>
      </c>
      <c r="P453" s="48">
        <f t="shared" si="13"/>
        <v>10192.959999999999</v>
      </c>
      <c r="Q453" s="43" t="s">
        <v>165</v>
      </c>
      <c r="R453" s="51">
        <v>44953</v>
      </c>
      <c r="S453" s="51">
        <v>45007</v>
      </c>
      <c r="T453" s="43"/>
      <c r="U453" s="43"/>
      <c r="V453" s="52"/>
      <c r="W453" s="53">
        <v>45019</v>
      </c>
      <c r="X453" s="43"/>
      <c r="Z453" s="43" t="s">
        <v>54</v>
      </c>
      <c r="AA453" s="43"/>
    </row>
    <row r="454" spans="1:27">
      <c r="A454" s="43">
        <v>442</v>
      </c>
      <c r="B454" s="33" t="s">
        <v>1157</v>
      </c>
      <c r="C454" s="44" t="s">
        <v>1175</v>
      </c>
      <c r="D454" s="43" t="s">
        <v>1176</v>
      </c>
      <c r="E454" s="45" t="s">
        <v>165</v>
      </c>
      <c r="F454" s="46">
        <v>15504002900209</v>
      </c>
      <c r="G454" s="43" t="s">
        <v>248</v>
      </c>
      <c r="H454" s="48">
        <v>600</v>
      </c>
      <c r="I454" s="43">
        <v>791</v>
      </c>
      <c r="J454" s="43" t="s">
        <v>37</v>
      </c>
      <c r="K454" s="48">
        <v>114</v>
      </c>
      <c r="L454" s="48">
        <v>114</v>
      </c>
      <c r="M454" s="48">
        <v>157.91999999999999</v>
      </c>
      <c r="N454" s="48">
        <f t="shared" si="12"/>
        <v>385.91999999999996</v>
      </c>
      <c r="O454" s="50">
        <v>10000</v>
      </c>
      <c r="P454" s="48">
        <f t="shared" si="13"/>
        <v>10385.92</v>
      </c>
      <c r="Q454" s="43" t="s">
        <v>165</v>
      </c>
      <c r="R454" s="51">
        <v>44953</v>
      </c>
      <c r="S454" s="51">
        <v>45007</v>
      </c>
      <c r="T454" s="43"/>
      <c r="U454" s="43"/>
      <c r="V454" s="52"/>
      <c r="W454" s="53">
        <v>45019</v>
      </c>
      <c r="X454" s="43"/>
      <c r="Z454" s="43" t="s">
        <v>54</v>
      </c>
      <c r="AA454" s="43"/>
    </row>
    <row r="455" spans="1:27" s="2" customFormat="1">
      <c r="A455" s="44">
        <v>443</v>
      </c>
      <c r="B455" s="33" t="s">
        <v>1157</v>
      </c>
      <c r="C455" s="44" t="s">
        <v>1177</v>
      </c>
      <c r="D455" s="43" t="s">
        <v>1178</v>
      </c>
      <c r="E455" s="45" t="s">
        <v>165</v>
      </c>
      <c r="F455" s="93">
        <v>15504002900207</v>
      </c>
      <c r="G455" s="43" t="s">
        <v>1174</v>
      </c>
      <c r="H455" s="48">
        <v>200</v>
      </c>
      <c r="I455" s="43">
        <v>328</v>
      </c>
      <c r="J455" s="43" t="s">
        <v>37</v>
      </c>
      <c r="K455" s="48">
        <v>38</v>
      </c>
      <c r="L455" s="48">
        <v>38</v>
      </c>
      <c r="M455" s="48">
        <v>52.64</v>
      </c>
      <c r="N455" s="48">
        <f t="shared" si="12"/>
        <v>128.63999999999999</v>
      </c>
      <c r="O455" s="50">
        <v>10000</v>
      </c>
      <c r="P455" s="48">
        <f t="shared" si="13"/>
        <v>10128.64</v>
      </c>
      <c r="Q455" s="43" t="s">
        <v>165</v>
      </c>
      <c r="R455" s="51">
        <v>44953</v>
      </c>
      <c r="S455" s="51">
        <v>45007</v>
      </c>
      <c r="T455" s="43"/>
      <c r="U455" s="43"/>
      <c r="V455" s="52"/>
      <c r="W455" s="53">
        <v>45019</v>
      </c>
      <c r="X455" s="54"/>
      <c r="Y455" s="54"/>
      <c r="Z455" s="43" t="s">
        <v>54</v>
      </c>
      <c r="AA455" s="55"/>
    </row>
    <row r="456" spans="1:27">
      <c r="A456" s="44">
        <v>444</v>
      </c>
      <c r="B456" s="33" t="s">
        <v>1157</v>
      </c>
      <c r="C456" s="44" t="s">
        <v>1179</v>
      </c>
      <c r="D456" s="43" t="s">
        <v>1180</v>
      </c>
      <c r="E456" s="45" t="s">
        <v>165</v>
      </c>
      <c r="F456" s="46">
        <v>15504002900219</v>
      </c>
      <c r="G456" s="43" t="s">
        <v>1174</v>
      </c>
      <c r="H456" s="48">
        <v>250</v>
      </c>
      <c r="I456" s="43">
        <v>417</v>
      </c>
      <c r="J456" s="43" t="s">
        <v>37</v>
      </c>
      <c r="K456" s="48">
        <v>47.5</v>
      </c>
      <c r="L456" s="48">
        <v>47.5</v>
      </c>
      <c r="M456" s="48">
        <v>65.801000000000002</v>
      </c>
      <c r="N456" s="48">
        <f t="shared" si="12"/>
        <v>160.80099999999999</v>
      </c>
      <c r="O456" s="50">
        <v>10000</v>
      </c>
      <c r="P456" s="48">
        <f t="shared" si="13"/>
        <v>10160.800999999999</v>
      </c>
      <c r="Q456" s="43" t="s">
        <v>165</v>
      </c>
      <c r="R456" s="51">
        <v>44953</v>
      </c>
      <c r="S456" s="51">
        <v>45007</v>
      </c>
      <c r="T456" s="43"/>
      <c r="U456" s="43"/>
      <c r="V456" s="52"/>
      <c r="W456" s="53">
        <v>45019</v>
      </c>
      <c r="X456" s="43"/>
      <c r="Z456" s="43" t="s">
        <v>54</v>
      </c>
      <c r="AA456" s="43"/>
    </row>
    <row r="457" spans="1:27">
      <c r="A457" s="43">
        <v>445</v>
      </c>
      <c r="B457" s="33" t="s">
        <v>1157</v>
      </c>
      <c r="C457" s="44" t="s">
        <v>1181</v>
      </c>
      <c r="D457" s="43" t="s">
        <v>1182</v>
      </c>
      <c r="E457" s="45" t="s">
        <v>165</v>
      </c>
      <c r="F457" s="46">
        <v>15504002900225</v>
      </c>
      <c r="G457" s="43" t="s">
        <v>1165</v>
      </c>
      <c r="H457" s="48">
        <v>1390</v>
      </c>
      <c r="I457" s="43">
        <v>1852</v>
      </c>
      <c r="J457" s="43" t="s">
        <v>37</v>
      </c>
      <c r="K457" s="48">
        <v>264.10000000000002</v>
      </c>
      <c r="L457" s="48">
        <v>264.10000000000002</v>
      </c>
      <c r="M457" s="48">
        <v>365.92</v>
      </c>
      <c r="N457" s="48">
        <f t="shared" si="12"/>
        <v>894.12000000000012</v>
      </c>
      <c r="O457" s="50">
        <v>10000</v>
      </c>
      <c r="P457" s="48">
        <f t="shared" si="13"/>
        <v>10894.12</v>
      </c>
      <c r="Q457" s="43" t="s">
        <v>165</v>
      </c>
      <c r="R457" s="51">
        <v>44953</v>
      </c>
      <c r="S457" s="51">
        <v>45007</v>
      </c>
      <c r="T457" s="43"/>
      <c r="U457" s="43"/>
      <c r="V457" s="52"/>
      <c r="W457" s="53">
        <v>45019</v>
      </c>
      <c r="X457" s="43"/>
      <c r="Z457" s="43" t="s">
        <v>54</v>
      </c>
      <c r="AA457" s="43"/>
    </row>
    <row r="458" spans="1:27">
      <c r="A458" s="44">
        <v>446</v>
      </c>
      <c r="B458" s="33" t="s">
        <v>1157</v>
      </c>
      <c r="C458" s="44" t="s">
        <v>1183</v>
      </c>
      <c r="D458" s="51" t="s">
        <v>1184</v>
      </c>
      <c r="E458" s="45" t="s">
        <v>165</v>
      </c>
      <c r="F458" s="46">
        <v>15504002900224</v>
      </c>
      <c r="G458" s="43" t="s">
        <v>36</v>
      </c>
      <c r="H458" s="48">
        <v>70</v>
      </c>
      <c r="I458" s="43">
        <v>98</v>
      </c>
      <c r="J458" s="43" t="s">
        <v>37</v>
      </c>
      <c r="K458" s="48">
        <v>13.3</v>
      </c>
      <c r="L458" s="48">
        <v>13.3</v>
      </c>
      <c r="M458" s="48">
        <v>18.3</v>
      </c>
      <c r="N458" s="48">
        <f t="shared" si="12"/>
        <v>44.900000000000006</v>
      </c>
      <c r="O458" s="50">
        <v>10000</v>
      </c>
      <c r="P458" s="48">
        <f t="shared" si="13"/>
        <v>10044.9</v>
      </c>
      <c r="Q458" s="43" t="s">
        <v>165</v>
      </c>
      <c r="R458" s="51">
        <v>44953</v>
      </c>
      <c r="S458" s="51">
        <v>45007</v>
      </c>
      <c r="T458" s="43"/>
      <c r="U458" s="43"/>
      <c r="V458" s="52"/>
      <c r="W458" s="53">
        <v>45019</v>
      </c>
      <c r="X458" s="43"/>
      <c r="Z458" s="43" t="s">
        <v>54</v>
      </c>
      <c r="AA458" s="43"/>
    </row>
    <row r="459" spans="1:27">
      <c r="A459" s="44">
        <v>447</v>
      </c>
      <c r="B459" s="33" t="s">
        <v>1157</v>
      </c>
      <c r="C459" s="44" t="s">
        <v>1185</v>
      </c>
      <c r="D459" s="43" t="s">
        <v>1186</v>
      </c>
      <c r="E459" s="45" t="s">
        <v>165</v>
      </c>
      <c r="F459" s="46">
        <v>15504002900221</v>
      </c>
      <c r="G459" s="43" t="s">
        <v>36</v>
      </c>
      <c r="H459" s="48">
        <v>130</v>
      </c>
      <c r="I459" s="43">
        <v>179</v>
      </c>
      <c r="J459" s="43" t="s">
        <v>37</v>
      </c>
      <c r="K459" s="48">
        <v>24.7</v>
      </c>
      <c r="L459" s="48">
        <v>24.7</v>
      </c>
      <c r="M459" s="48">
        <v>34.340000000000003</v>
      </c>
      <c r="N459" s="48">
        <f t="shared" si="12"/>
        <v>83.740000000000009</v>
      </c>
      <c r="O459" s="50">
        <v>10000</v>
      </c>
      <c r="P459" s="48">
        <f t="shared" si="13"/>
        <v>10083.74</v>
      </c>
      <c r="Q459" s="43" t="s">
        <v>165</v>
      </c>
      <c r="R459" s="51">
        <v>44953</v>
      </c>
      <c r="S459" s="51">
        <v>45007</v>
      </c>
      <c r="T459" s="43"/>
      <c r="U459" s="43"/>
      <c r="V459" s="52"/>
      <c r="W459" s="53">
        <v>45019</v>
      </c>
      <c r="X459" s="43"/>
      <c r="Z459" s="43" t="s">
        <v>54</v>
      </c>
      <c r="AA459" s="43"/>
    </row>
    <row r="460" spans="1:27">
      <c r="A460" s="43">
        <v>448</v>
      </c>
      <c r="B460" s="33" t="s">
        <v>1157</v>
      </c>
      <c r="C460" s="44" t="s">
        <v>1187</v>
      </c>
      <c r="D460" s="43" t="s">
        <v>1188</v>
      </c>
      <c r="E460" s="45" t="s">
        <v>165</v>
      </c>
      <c r="F460" s="46">
        <v>15504002900223</v>
      </c>
      <c r="G460" s="43" t="s">
        <v>36</v>
      </c>
      <c r="H460" s="48">
        <v>700</v>
      </c>
      <c r="I460" s="43">
        <v>931</v>
      </c>
      <c r="J460" s="43" t="s">
        <v>37</v>
      </c>
      <c r="K460" s="48">
        <v>133</v>
      </c>
      <c r="L460" s="48">
        <v>133</v>
      </c>
      <c r="M460" s="48">
        <v>184.24</v>
      </c>
      <c r="N460" s="48">
        <f t="shared" si="12"/>
        <v>450.24</v>
      </c>
      <c r="O460" s="50">
        <v>10000</v>
      </c>
      <c r="P460" s="48">
        <f t="shared" si="13"/>
        <v>10450.24</v>
      </c>
      <c r="Q460" s="43" t="s">
        <v>165</v>
      </c>
      <c r="R460" s="51">
        <v>44953</v>
      </c>
      <c r="S460" s="51">
        <v>45007</v>
      </c>
      <c r="T460" s="43"/>
      <c r="U460" s="43"/>
      <c r="V460" s="52"/>
      <c r="W460" s="53">
        <v>45019</v>
      </c>
      <c r="X460" s="43"/>
      <c r="Z460" s="43" t="s">
        <v>54</v>
      </c>
      <c r="AA460" s="43"/>
    </row>
    <row r="461" spans="1:27">
      <c r="A461" s="44">
        <v>449</v>
      </c>
      <c r="B461" s="33" t="s">
        <v>1157</v>
      </c>
      <c r="C461" s="44" t="s">
        <v>1189</v>
      </c>
      <c r="D461" s="43" t="s">
        <v>1190</v>
      </c>
      <c r="E461" s="45" t="s">
        <v>165</v>
      </c>
      <c r="F461" s="46">
        <v>15504002900220</v>
      </c>
      <c r="G461" s="43" t="s">
        <v>36</v>
      </c>
      <c r="H461" s="48">
        <v>380</v>
      </c>
      <c r="I461" s="43">
        <v>505</v>
      </c>
      <c r="J461" s="43" t="s">
        <v>37</v>
      </c>
      <c r="K461" s="48">
        <v>72.2</v>
      </c>
      <c r="L461" s="48">
        <v>72.2</v>
      </c>
      <c r="M461" s="48">
        <v>100.14</v>
      </c>
      <c r="N461" s="48">
        <f t="shared" si="12"/>
        <v>244.54000000000002</v>
      </c>
      <c r="O461" s="50">
        <v>10000</v>
      </c>
      <c r="P461" s="48">
        <f t="shared" si="13"/>
        <v>10244.540000000001</v>
      </c>
      <c r="Q461" s="43" t="s">
        <v>165</v>
      </c>
      <c r="R461" s="51">
        <v>44953</v>
      </c>
      <c r="S461" s="51">
        <v>45007</v>
      </c>
      <c r="T461" s="43"/>
      <c r="U461" s="43"/>
      <c r="V461" s="52"/>
      <c r="W461" s="53">
        <v>45019</v>
      </c>
      <c r="X461" s="43"/>
      <c r="Z461" s="43" t="s">
        <v>54</v>
      </c>
      <c r="AA461" s="43"/>
    </row>
    <row r="462" spans="1:27">
      <c r="A462" s="44">
        <v>450</v>
      </c>
      <c r="B462" s="33" t="s">
        <v>1157</v>
      </c>
      <c r="C462" s="44" t="s">
        <v>1191</v>
      </c>
      <c r="D462" s="43" t="s">
        <v>1192</v>
      </c>
      <c r="E462" s="45" t="s">
        <v>165</v>
      </c>
      <c r="F462" s="46">
        <v>15504002900201</v>
      </c>
      <c r="G462" s="43" t="s">
        <v>36</v>
      </c>
      <c r="H462" s="48">
        <v>180</v>
      </c>
      <c r="I462" s="43">
        <v>234</v>
      </c>
      <c r="J462" s="43" t="s">
        <v>37</v>
      </c>
      <c r="K462" s="48">
        <v>34.200000000000003</v>
      </c>
      <c r="L462" s="48">
        <v>34.200000000000003</v>
      </c>
      <c r="M462" s="48">
        <v>47.5</v>
      </c>
      <c r="N462" s="48">
        <f t="shared" ref="N462:N525" si="14">K462+L462+M462</f>
        <v>115.9</v>
      </c>
      <c r="O462" s="50">
        <v>10000</v>
      </c>
      <c r="P462" s="48">
        <f t="shared" ref="P462:P525" si="15">K462+L462+M462+O462</f>
        <v>10115.9</v>
      </c>
      <c r="Q462" s="43" t="s">
        <v>165</v>
      </c>
      <c r="R462" s="51">
        <v>44953</v>
      </c>
      <c r="S462" s="51">
        <v>45007</v>
      </c>
      <c r="T462" s="43"/>
      <c r="U462" s="43"/>
      <c r="V462" s="52"/>
      <c r="W462" s="53">
        <v>45019</v>
      </c>
      <c r="X462" s="43"/>
      <c r="Z462" s="43" t="s">
        <v>54</v>
      </c>
      <c r="AA462" s="43"/>
    </row>
    <row r="463" spans="1:27">
      <c r="A463" s="43">
        <v>451</v>
      </c>
      <c r="B463" s="33" t="s">
        <v>1157</v>
      </c>
      <c r="C463" s="44" t="s">
        <v>1193</v>
      </c>
      <c r="D463" s="43">
        <v>618</v>
      </c>
      <c r="E463" s="45" t="s">
        <v>1194</v>
      </c>
      <c r="F463" s="46">
        <v>15504000500108</v>
      </c>
      <c r="G463" s="47" t="s">
        <v>68</v>
      </c>
      <c r="H463" s="48">
        <v>9660</v>
      </c>
      <c r="I463" s="49">
        <v>42</v>
      </c>
      <c r="J463" s="43" t="s">
        <v>63</v>
      </c>
      <c r="K463" s="48">
        <v>1352.4</v>
      </c>
      <c r="L463" s="48">
        <v>1352.4</v>
      </c>
      <c r="M463" s="48">
        <v>1846.94</v>
      </c>
      <c r="N463" s="48">
        <f t="shared" si="14"/>
        <v>4551.74</v>
      </c>
      <c r="O463" s="50">
        <v>10000</v>
      </c>
      <c r="P463" s="48">
        <f t="shared" si="15"/>
        <v>14551.74</v>
      </c>
      <c r="Q463" s="43" t="s">
        <v>1194</v>
      </c>
      <c r="R463" s="51">
        <v>44876</v>
      </c>
      <c r="S463" s="51">
        <v>45007</v>
      </c>
      <c r="T463" s="51"/>
      <c r="U463" s="43"/>
      <c r="V463" s="52"/>
      <c r="W463" s="53">
        <v>45036</v>
      </c>
      <c r="X463" s="43"/>
      <c r="Y463" s="55" t="s">
        <v>49</v>
      </c>
      <c r="Z463" s="51">
        <v>45062</v>
      </c>
      <c r="AA463" s="43"/>
    </row>
    <row r="464" spans="1:27">
      <c r="A464" s="44">
        <v>452</v>
      </c>
      <c r="B464" s="33" t="s">
        <v>1157</v>
      </c>
      <c r="C464" s="44" t="s">
        <v>1195</v>
      </c>
      <c r="D464" s="43">
        <v>13684</v>
      </c>
      <c r="E464" s="45" t="s">
        <v>1196</v>
      </c>
      <c r="F464" s="46">
        <v>1550400118041</v>
      </c>
      <c r="G464" s="47" t="s">
        <v>1197</v>
      </c>
      <c r="H464" s="48">
        <v>2070</v>
      </c>
      <c r="I464" s="49">
        <v>4</v>
      </c>
      <c r="J464" s="43" t="s">
        <v>37</v>
      </c>
      <c r="K464" s="48">
        <v>589.95000000000005</v>
      </c>
      <c r="L464" s="48">
        <v>393.3</v>
      </c>
      <c r="M464" s="48">
        <v>681.04</v>
      </c>
      <c r="N464" s="48">
        <f t="shared" si="14"/>
        <v>1664.29</v>
      </c>
      <c r="O464" s="50">
        <v>10000</v>
      </c>
      <c r="P464" s="48">
        <f t="shared" si="15"/>
        <v>11664.29</v>
      </c>
      <c r="Q464" s="43" t="s">
        <v>1196</v>
      </c>
      <c r="R464" s="51">
        <v>44876</v>
      </c>
      <c r="S464" s="51">
        <v>45000</v>
      </c>
      <c r="T464" s="51">
        <v>45007</v>
      </c>
      <c r="U464" s="43"/>
      <c r="V464" s="52"/>
      <c r="W464" s="53">
        <v>45036</v>
      </c>
      <c r="X464" s="43"/>
      <c r="Y464" s="55" t="s">
        <v>49</v>
      </c>
      <c r="Z464" s="51">
        <v>45062</v>
      </c>
      <c r="AA464" s="43"/>
    </row>
    <row r="465" spans="1:27">
      <c r="A465" s="44">
        <v>453</v>
      </c>
      <c r="B465" s="33" t="s">
        <v>1198</v>
      </c>
      <c r="C465" s="44" t="s">
        <v>1199</v>
      </c>
      <c r="D465" s="43" t="s">
        <v>1200</v>
      </c>
      <c r="E465" s="45" t="s">
        <v>79</v>
      </c>
      <c r="F465" s="46">
        <v>15504004902609</v>
      </c>
      <c r="G465" s="47" t="s">
        <v>36</v>
      </c>
      <c r="H465" s="48">
        <v>6840</v>
      </c>
      <c r="I465" s="49">
        <v>9766</v>
      </c>
      <c r="J465" s="43" t="s">
        <v>58</v>
      </c>
      <c r="K465" s="48">
        <v>1026</v>
      </c>
      <c r="L465" s="48">
        <v>1026</v>
      </c>
      <c r="M465" s="48">
        <v>1406.36</v>
      </c>
      <c r="N465" s="48">
        <f t="shared" si="14"/>
        <v>3458.3599999999997</v>
      </c>
      <c r="O465" s="50">
        <v>10000</v>
      </c>
      <c r="P465" s="48">
        <f t="shared" si="15"/>
        <v>13458.36</v>
      </c>
      <c r="Q465" s="43" t="s">
        <v>79</v>
      </c>
      <c r="R465" s="51">
        <v>44985</v>
      </c>
      <c r="S465" s="51">
        <v>45006</v>
      </c>
      <c r="T465" s="43"/>
      <c r="U465" s="43"/>
      <c r="V465" s="52"/>
      <c r="W465" s="53">
        <v>45041</v>
      </c>
      <c r="X465" s="43"/>
      <c r="Y465" s="55" t="s">
        <v>49</v>
      </c>
      <c r="Z465" s="51">
        <v>45069</v>
      </c>
      <c r="AA465" s="43"/>
    </row>
    <row r="466" spans="1:27">
      <c r="A466" s="43">
        <v>454</v>
      </c>
      <c r="B466" s="33" t="s">
        <v>1201</v>
      </c>
      <c r="C466" s="44" t="s">
        <v>1202</v>
      </c>
      <c r="D466" s="43" t="s">
        <v>1203</v>
      </c>
      <c r="E466" s="45" t="s">
        <v>79</v>
      </c>
      <c r="F466" s="46">
        <v>15504004901505</v>
      </c>
      <c r="G466" s="47" t="s">
        <v>36</v>
      </c>
      <c r="H466" s="48">
        <v>3120</v>
      </c>
      <c r="I466" s="49">
        <v>4451</v>
      </c>
      <c r="J466" s="43" t="s">
        <v>273</v>
      </c>
      <c r="K466" s="48">
        <v>280.8</v>
      </c>
      <c r="L466" s="48">
        <v>280.8</v>
      </c>
      <c r="M466" s="48">
        <v>371.86</v>
      </c>
      <c r="N466" s="48">
        <f t="shared" si="14"/>
        <v>933.46</v>
      </c>
      <c r="O466" s="50">
        <v>10000</v>
      </c>
      <c r="P466" s="48">
        <f t="shared" si="15"/>
        <v>10933.46</v>
      </c>
      <c r="Q466" s="43" t="s">
        <v>79</v>
      </c>
      <c r="R466" s="51">
        <v>44985</v>
      </c>
      <c r="S466" s="51">
        <v>45006</v>
      </c>
      <c r="T466" s="43"/>
      <c r="U466" s="43"/>
      <c r="V466" s="52"/>
      <c r="W466" s="53">
        <v>45041</v>
      </c>
      <c r="X466" s="43"/>
      <c r="Y466" s="55" t="s">
        <v>49</v>
      </c>
      <c r="Z466" s="51">
        <v>45069</v>
      </c>
      <c r="AA466" s="43"/>
    </row>
    <row r="467" spans="1:27">
      <c r="A467" s="44">
        <v>455</v>
      </c>
      <c r="B467" s="33" t="s">
        <v>1204</v>
      </c>
      <c r="C467" s="44" t="s">
        <v>1205</v>
      </c>
      <c r="D467" s="43"/>
      <c r="E467" s="45" t="s">
        <v>165</v>
      </c>
      <c r="F467" s="46">
        <v>15504002901749</v>
      </c>
      <c r="G467" s="43" t="s">
        <v>157</v>
      </c>
      <c r="H467" s="48">
        <v>29110</v>
      </c>
      <c r="I467" s="43"/>
      <c r="J467" s="43" t="s">
        <v>42</v>
      </c>
      <c r="K467" s="48">
        <v>5239.8</v>
      </c>
      <c r="L467" s="48">
        <v>5239.8</v>
      </c>
      <c r="M467" s="48">
        <v>8242.5</v>
      </c>
      <c r="N467" s="48">
        <f t="shared" si="14"/>
        <v>18722.099999999999</v>
      </c>
      <c r="O467" s="50">
        <v>10000</v>
      </c>
      <c r="P467" s="48">
        <f t="shared" si="15"/>
        <v>28722.1</v>
      </c>
      <c r="Q467" s="43" t="s">
        <v>165</v>
      </c>
      <c r="R467" s="51">
        <v>44959</v>
      </c>
      <c r="S467" s="51">
        <v>45007</v>
      </c>
      <c r="T467" s="43"/>
      <c r="U467" s="43"/>
      <c r="V467" s="52"/>
      <c r="W467" s="53">
        <v>45016</v>
      </c>
      <c r="X467" s="51">
        <v>44993</v>
      </c>
      <c r="Z467" s="43" t="s">
        <v>54</v>
      </c>
      <c r="AA467" s="43"/>
    </row>
    <row r="468" spans="1:27" s="67" customFormat="1">
      <c r="A468" s="44">
        <v>456</v>
      </c>
      <c r="B468" s="77" t="s">
        <v>1206</v>
      </c>
      <c r="C468" s="44" t="s">
        <v>1207</v>
      </c>
      <c r="D468" s="44"/>
      <c r="E468" s="100" t="s">
        <v>222</v>
      </c>
      <c r="F468" s="69">
        <v>15504004802637</v>
      </c>
      <c r="G468" s="59" t="s">
        <v>381</v>
      </c>
      <c r="H468" s="62">
        <v>1008000</v>
      </c>
      <c r="I468" s="61"/>
      <c r="J468" s="44" t="s">
        <v>199</v>
      </c>
      <c r="K468" s="60">
        <v>60480</v>
      </c>
      <c r="L468" s="60">
        <v>40320</v>
      </c>
      <c r="M468" s="60">
        <v>59472</v>
      </c>
      <c r="N468" s="60">
        <f t="shared" si="14"/>
        <v>160272</v>
      </c>
      <c r="O468" s="62">
        <v>10000</v>
      </c>
      <c r="P468" s="60">
        <f t="shared" si="15"/>
        <v>170272</v>
      </c>
      <c r="Q468" s="44" t="s">
        <v>222</v>
      </c>
      <c r="R468" s="63">
        <v>44875</v>
      </c>
      <c r="S468" s="63">
        <v>45006</v>
      </c>
      <c r="T468" s="63"/>
      <c r="U468" s="44"/>
      <c r="V468" s="64"/>
      <c r="W468" s="65"/>
      <c r="X468" s="44"/>
      <c r="Y468" s="67" t="s">
        <v>54</v>
      </c>
      <c r="Z468" s="44"/>
      <c r="AA468" s="44"/>
    </row>
    <row r="469" spans="1:27">
      <c r="A469" s="43">
        <v>457</v>
      </c>
      <c r="B469" s="33" t="s">
        <v>1208</v>
      </c>
      <c r="C469" s="44" t="s">
        <v>1209</v>
      </c>
      <c r="D469" s="43" t="s">
        <v>1210</v>
      </c>
      <c r="E469" s="45" t="s">
        <v>789</v>
      </c>
      <c r="F469" s="46">
        <v>15504003402141</v>
      </c>
      <c r="G469" s="47" t="s">
        <v>47</v>
      </c>
      <c r="H469" s="48">
        <v>3180</v>
      </c>
      <c r="I469" s="49">
        <v>53</v>
      </c>
      <c r="J469" s="43" t="s">
        <v>37</v>
      </c>
      <c r="K469" s="48">
        <v>604.20000000000005</v>
      </c>
      <c r="L469" s="48">
        <v>604.20000000000005</v>
      </c>
      <c r="M469" s="48">
        <v>839.66</v>
      </c>
      <c r="N469" s="48">
        <f t="shared" si="14"/>
        <v>2048.06</v>
      </c>
      <c r="O469" s="50">
        <v>10000</v>
      </c>
      <c r="P469" s="48">
        <f t="shared" si="15"/>
        <v>12048.06</v>
      </c>
      <c r="Q469" s="43" t="s">
        <v>789</v>
      </c>
      <c r="R469" s="51">
        <v>44972</v>
      </c>
      <c r="S469" s="51">
        <v>45000</v>
      </c>
      <c r="T469" s="43" t="s">
        <v>791</v>
      </c>
      <c r="U469" s="43"/>
      <c r="V469" s="52"/>
      <c r="W469" s="53">
        <v>45027</v>
      </c>
      <c r="X469" s="43"/>
      <c r="Y469" s="55" t="s">
        <v>54</v>
      </c>
      <c r="Z469" s="43" t="s">
        <v>1211</v>
      </c>
      <c r="AA469" s="43"/>
    </row>
    <row r="470" spans="1:27">
      <c r="A470" s="44">
        <v>458</v>
      </c>
      <c r="B470" s="33" t="s">
        <v>1212</v>
      </c>
      <c r="C470" s="44" t="s">
        <v>1213</v>
      </c>
      <c r="D470" s="43" t="s">
        <v>1214</v>
      </c>
      <c r="E470" s="45" t="s">
        <v>789</v>
      </c>
      <c r="F470" s="46">
        <v>15504003402143</v>
      </c>
      <c r="G470" s="47" t="s">
        <v>109</v>
      </c>
      <c r="H470" s="48">
        <v>3240</v>
      </c>
      <c r="I470" s="49">
        <v>54</v>
      </c>
      <c r="J470" s="43" t="s">
        <v>37</v>
      </c>
      <c r="K470" s="48">
        <v>615.6</v>
      </c>
      <c r="L470" s="48">
        <v>615.6</v>
      </c>
      <c r="M470" s="48">
        <v>855.42</v>
      </c>
      <c r="N470" s="48">
        <f t="shared" si="14"/>
        <v>2086.62</v>
      </c>
      <c r="O470" s="50">
        <v>10000</v>
      </c>
      <c r="P470" s="48">
        <f t="shared" si="15"/>
        <v>12086.619999999999</v>
      </c>
      <c r="Q470" s="43" t="s">
        <v>789</v>
      </c>
      <c r="R470" s="51">
        <v>44972</v>
      </c>
      <c r="S470" s="51">
        <v>45000</v>
      </c>
      <c r="T470" s="43" t="s">
        <v>791</v>
      </c>
      <c r="U470" s="43"/>
      <c r="V470" s="52"/>
      <c r="W470" s="53">
        <v>45027</v>
      </c>
      <c r="X470" s="43"/>
      <c r="Y470" s="55" t="s">
        <v>54</v>
      </c>
      <c r="Z470" s="43" t="s">
        <v>1211</v>
      </c>
      <c r="AA470" s="43"/>
    </row>
    <row r="471" spans="1:27" s="67" customFormat="1">
      <c r="A471" s="44">
        <v>459</v>
      </c>
      <c r="B471" s="56" t="s">
        <v>1215</v>
      </c>
      <c r="C471" s="44" t="s">
        <v>1216</v>
      </c>
      <c r="D471" s="44" t="s">
        <v>1217</v>
      </c>
      <c r="E471" s="68" t="s">
        <v>57</v>
      </c>
      <c r="F471" s="69">
        <v>15504003100416</v>
      </c>
      <c r="G471" s="59" t="s">
        <v>36</v>
      </c>
      <c r="H471" s="60">
        <v>15450</v>
      </c>
      <c r="I471" s="61">
        <v>19613</v>
      </c>
      <c r="J471" s="44" t="s">
        <v>74</v>
      </c>
      <c r="K471" s="78">
        <v>1699.5</v>
      </c>
      <c r="L471" s="78">
        <v>1699.5</v>
      </c>
      <c r="M471" s="78">
        <v>2298.96</v>
      </c>
      <c r="N471" s="60">
        <f t="shared" si="14"/>
        <v>5697.96</v>
      </c>
      <c r="O471" s="62">
        <v>10000</v>
      </c>
      <c r="P471" s="60">
        <f t="shared" si="15"/>
        <v>15697.96</v>
      </c>
      <c r="Q471" s="44" t="s">
        <v>57</v>
      </c>
      <c r="R471" s="63">
        <v>45014</v>
      </c>
      <c r="S471" s="44" t="s">
        <v>1218</v>
      </c>
      <c r="T471" s="44"/>
      <c r="U471" s="44"/>
      <c r="V471" s="79"/>
      <c r="W471" s="63"/>
      <c r="X471" s="44"/>
      <c r="Z471" s="44"/>
      <c r="AA471" s="44"/>
    </row>
    <row r="472" spans="1:27">
      <c r="A472" s="43">
        <v>460</v>
      </c>
      <c r="B472" s="33" t="s">
        <v>1219</v>
      </c>
      <c r="C472" s="44" t="s">
        <v>1220</v>
      </c>
      <c r="D472" s="43">
        <v>173</v>
      </c>
      <c r="E472" s="45" t="s">
        <v>244</v>
      </c>
      <c r="F472" s="46">
        <v>15504010201411</v>
      </c>
      <c r="G472" s="47" t="s">
        <v>511</v>
      </c>
      <c r="H472" s="48">
        <v>31980</v>
      </c>
      <c r="I472" s="49">
        <v>1142</v>
      </c>
      <c r="J472" s="43" t="s">
        <v>37</v>
      </c>
      <c r="K472" s="48">
        <f>4797+1279.2</f>
        <v>6076.2</v>
      </c>
      <c r="L472" s="48">
        <v>6076.2</v>
      </c>
      <c r="M472" s="48">
        <f>6907.8+1509.46</f>
        <v>8417.26</v>
      </c>
      <c r="N472" s="48">
        <f t="shared" si="14"/>
        <v>20569.66</v>
      </c>
      <c r="O472" s="50">
        <v>10000</v>
      </c>
      <c r="P472" s="48">
        <f t="shared" si="15"/>
        <v>30569.66</v>
      </c>
      <c r="Q472" s="43" t="s">
        <v>244</v>
      </c>
      <c r="R472" s="51">
        <v>44888</v>
      </c>
      <c r="S472" s="51">
        <v>45008</v>
      </c>
      <c r="T472" s="51"/>
      <c r="U472" s="43"/>
      <c r="V472" s="52"/>
      <c r="W472" s="53">
        <v>45020</v>
      </c>
      <c r="X472" s="43"/>
      <c r="Z472" s="43" t="s">
        <v>54</v>
      </c>
      <c r="AA472" s="43"/>
    </row>
    <row r="473" spans="1:27" s="67" customFormat="1">
      <c r="A473" s="44">
        <v>461</v>
      </c>
      <c r="B473" s="56" t="s">
        <v>1221</v>
      </c>
      <c r="C473" s="44" t="s">
        <v>1222</v>
      </c>
      <c r="D473" s="70" t="s">
        <v>1223</v>
      </c>
      <c r="E473" s="68" t="s">
        <v>46</v>
      </c>
      <c r="F473" s="69">
        <v>15504007602204</v>
      </c>
      <c r="G473" s="59" t="s">
        <v>109</v>
      </c>
      <c r="H473" s="60">
        <v>67970</v>
      </c>
      <c r="I473" s="61">
        <v>944</v>
      </c>
      <c r="J473" s="44" t="s">
        <v>37</v>
      </c>
      <c r="K473" s="60">
        <f>10195.5+2718.8</f>
        <v>12914.3</v>
      </c>
      <c r="L473" s="60">
        <v>12914.3</v>
      </c>
      <c r="M473" s="60">
        <f>14681.4+3262.54</f>
        <v>17943.939999999999</v>
      </c>
      <c r="N473" s="60">
        <f t="shared" si="14"/>
        <v>43772.539999999994</v>
      </c>
      <c r="O473" s="62">
        <v>10000</v>
      </c>
      <c r="P473" s="60">
        <f t="shared" si="15"/>
        <v>53772.539999999994</v>
      </c>
      <c r="Q473" s="44" t="s">
        <v>46</v>
      </c>
      <c r="R473" s="63">
        <v>44965</v>
      </c>
      <c r="S473" s="63">
        <v>45013</v>
      </c>
      <c r="T473" s="44"/>
      <c r="U473" s="44"/>
      <c r="V473" s="64"/>
      <c r="W473" s="65">
        <v>45029</v>
      </c>
      <c r="X473" s="44"/>
      <c r="Z473" s="44" t="s">
        <v>54</v>
      </c>
      <c r="AA473" s="63">
        <v>45063</v>
      </c>
    </row>
    <row r="474" spans="1:27">
      <c r="A474" s="44">
        <v>462</v>
      </c>
      <c r="B474" s="33" t="s">
        <v>1224</v>
      </c>
      <c r="C474" s="44" t="s">
        <v>1225</v>
      </c>
      <c r="D474" s="43" t="s">
        <v>1226</v>
      </c>
      <c r="E474" s="45" t="s">
        <v>135</v>
      </c>
      <c r="F474" s="46">
        <v>15504009600912</v>
      </c>
      <c r="G474" s="47" t="s">
        <v>36</v>
      </c>
      <c r="H474" s="48">
        <v>33970</v>
      </c>
      <c r="I474" s="49">
        <v>63722</v>
      </c>
      <c r="J474" s="43" t="s">
        <v>37</v>
      </c>
      <c r="K474" s="48">
        <v>6454.3</v>
      </c>
      <c r="L474" s="48">
        <v>6454.3</v>
      </c>
      <c r="M474" s="48">
        <v>8967.94</v>
      </c>
      <c r="N474" s="48">
        <f t="shared" si="14"/>
        <v>21876.54</v>
      </c>
      <c r="O474" s="50">
        <v>10000</v>
      </c>
      <c r="P474" s="48">
        <f t="shared" si="15"/>
        <v>31876.54</v>
      </c>
      <c r="Q474" s="43" t="s">
        <v>135</v>
      </c>
      <c r="R474" s="51">
        <v>44880</v>
      </c>
      <c r="S474" s="51">
        <v>45013</v>
      </c>
      <c r="T474" s="43"/>
      <c r="U474" s="51"/>
      <c r="V474" s="52"/>
      <c r="W474" s="53">
        <v>45050</v>
      </c>
      <c r="X474" s="43"/>
      <c r="Y474" s="55" t="s">
        <v>54</v>
      </c>
      <c r="Z474" s="51">
        <v>45064</v>
      </c>
      <c r="AA474" s="43"/>
    </row>
    <row r="475" spans="1:27">
      <c r="A475" s="43">
        <v>463</v>
      </c>
      <c r="B475" s="33" t="s">
        <v>1227</v>
      </c>
      <c r="C475" s="44" t="s">
        <v>1228</v>
      </c>
      <c r="D475" s="43">
        <v>17051</v>
      </c>
      <c r="E475" s="45" t="s">
        <v>1194</v>
      </c>
      <c r="F475" s="46">
        <v>15504000500213</v>
      </c>
      <c r="G475" s="47" t="s">
        <v>265</v>
      </c>
      <c r="H475" s="48">
        <v>12420</v>
      </c>
      <c r="I475" s="49">
        <v>24</v>
      </c>
      <c r="J475" s="43" t="s">
        <v>37</v>
      </c>
      <c r="K475" s="48">
        <v>3539.7</v>
      </c>
      <c r="L475" s="48">
        <v>2359.8000000000002</v>
      </c>
      <c r="M475" s="48">
        <v>4086.18</v>
      </c>
      <c r="N475" s="48">
        <f t="shared" si="14"/>
        <v>9985.68</v>
      </c>
      <c r="O475" s="50">
        <v>10000</v>
      </c>
      <c r="P475" s="48">
        <f t="shared" si="15"/>
        <v>19985.68</v>
      </c>
      <c r="Q475" s="43" t="s">
        <v>1194</v>
      </c>
      <c r="R475" s="51">
        <v>44876</v>
      </c>
      <c r="S475" s="51">
        <v>45015</v>
      </c>
      <c r="T475" s="51"/>
      <c r="U475" s="43"/>
      <c r="V475" s="52"/>
      <c r="W475" s="53"/>
      <c r="X475" s="43"/>
      <c r="Y475" s="55" t="s">
        <v>49</v>
      </c>
      <c r="Z475" s="51">
        <v>45064</v>
      </c>
      <c r="AA475" s="43"/>
    </row>
    <row r="476" spans="1:27">
      <c r="A476" s="44">
        <v>464</v>
      </c>
      <c r="B476" s="33" t="s">
        <v>1229</v>
      </c>
      <c r="C476" s="44" t="s">
        <v>1230</v>
      </c>
      <c r="D476" s="43">
        <v>29604</v>
      </c>
      <c r="E476" s="45" t="s">
        <v>108</v>
      </c>
      <c r="F476" s="46">
        <v>15504007703227</v>
      </c>
      <c r="G476" s="47" t="s">
        <v>109</v>
      </c>
      <c r="H476" s="48">
        <v>17000</v>
      </c>
      <c r="I476" s="49">
        <v>607</v>
      </c>
      <c r="J476" s="43" t="s">
        <v>37</v>
      </c>
      <c r="K476" s="48">
        <f>2550+680</f>
        <v>3230</v>
      </c>
      <c r="L476" s="48">
        <f>2550+680</f>
        <v>3230</v>
      </c>
      <c r="M476" s="48">
        <f>3672+802.4</f>
        <v>4474.3999999999996</v>
      </c>
      <c r="N476" s="48">
        <f t="shared" si="14"/>
        <v>10934.4</v>
      </c>
      <c r="O476" s="50">
        <v>10000</v>
      </c>
      <c r="P476" s="48">
        <f t="shared" si="15"/>
        <v>20934.400000000001</v>
      </c>
      <c r="Q476" s="43" t="s">
        <v>108</v>
      </c>
      <c r="R476" s="51">
        <v>44890</v>
      </c>
      <c r="S476" s="51">
        <v>45014</v>
      </c>
      <c r="T476" s="51"/>
      <c r="U476" s="43"/>
      <c r="V476" s="52"/>
      <c r="W476" s="53">
        <v>45028</v>
      </c>
      <c r="X476" s="43"/>
      <c r="Z476" s="43" t="s">
        <v>54</v>
      </c>
      <c r="AA476" s="51">
        <v>45061</v>
      </c>
    </row>
    <row r="477" spans="1:27">
      <c r="A477" s="44">
        <v>465</v>
      </c>
      <c r="B477" s="33" t="s">
        <v>1229</v>
      </c>
      <c r="C477" s="44" t="s">
        <v>1231</v>
      </c>
      <c r="D477" s="43">
        <v>32226</v>
      </c>
      <c r="E477" s="45" t="s">
        <v>108</v>
      </c>
      <c r="F477" s="46">
        <v>15504007702934</v>
      </c>
      <c r="G477" s="47" t="s">
        <v>109</v>
      </c>
      <c r="H477" s="48">
        <v>25730</v>
      </c>
      <c r="I477" s="49">
        <v>919</v>
      </c>
      <c r="J477" s="43" t="s">
        <v>37</v>
      </c>
      <c r="K477" s="48">
        <f>3859.5+1029.2</f>
        <v>4888.7</v>
      </c>
      <c r="L477" s="48">
        <v>4888.7</v>
      </c>
      <c r="M477" s="48">
        <f>5557.8+1214.46</f>
        <v>6772.26</v>
      </c>
      <c r="N477" s="48">
        <f t="shared" si="14"/>
        <v>16549.66</v>
      </c>
      <c r="O477" s="50">
        <v>10000</v>
      </c>
      <c r="P477" s="48">
        <f t="shared" si="15"/>
        <v>26549.66</v>
      </c>
      <c r="Q477" s="43" t="s">
        <v>108</v>
      </c>
      <c r="R477" s="51">
        <v>44890</v>
      </c>
      <c r="S477" s="51">
        <v>45014</v>
      </c>
      <c r="T477" s="51"/>
      <c r="U477" s="43"/>
      <c r="V477" s="52"/>
      <c r="W477" s="53">
        <v>45028</v>
      </c>
      <c r="X477" s="43"/>
      <c r="Z477" s="43" t="s">
        <v>54</v>
      </c>
      <c r="AA477" s="51">
        <v>45061</v>
      </c>
    </row>
    <row r="478" spans="1:27">
      <c r="A478" s="43">
        <v>466</v>
      </c>
      <c r="B478" s="33" t="s">
        <v>1229</v>
      </c>
      <c r="C478" s="44" t="s">
        <v>1232</v>
      </c>
      <c r="D478" s="43">
        <v>33740</v>
      </c>
      <c r="E478" s="45" t="s">
        <v>108</v>
      </c>
      <c r="F478" s="46">
        <v>15504007703127</v>
      </c>
      <c r="G478" s="47" t="s">
        <v>47</v>
      </c>
      <c r="H478" s="48">
        <v>17020</v>
      </c>
      <c r="I478" s="49">
        <v>608</v>
      </c>
      <c r="J478" s="43" t="s">
        <v>37</v>
      </c>
      <c r="K478" s="48">
        <f>2553+680.8</f>
        <v>3233.8</v>
      </c>
      <c r="L478" s="48">
        <v>3233.8</v>
      </c>
      <c r="M478" s="48">
        <f>3676.2+803.34</f>
        <v>4479.54</v>
      </c>
      <c r="N478" s="48">
        <f t="shared" si="14"/>
        <v>10947.14</v>
      </c>
      <c r="O478" s="50">
        <v>10000</v>
      </c>
      <c r="P478" s="48">
        <f t="shared" si="15"/>
        <v>20947.14</v>
      </c>
      <c r="Q478" s="43" t="s">
        <v>108</v>
      </c>
      <c r="R478" s="51">
        <v>44890</v>
      </c>
      <c r="S478" s="51">
        <v>45014</v>
      </c>
      <c r="T478" s="51"/>
      <c r="U478" s="43"/>
      <c r="V478" s="52"/>
      <c r="W478" s="53">
        <v>45028</v>
      </c>
      <c r="X478" s="43"/>
      <c r="Z478" s="43" t="s">
        <v>54</v>
      </c>
      <c r="AA478" s="51">
        <v>45061</v>
      </c>
    </row>
    <row r="479" spans="1:27">
      <c r="A479" s="44">
        <v>467</v>
      </c>
      <c r="B479" s="33" t="s">
        <v>1233</v>
      </c>
      <c r="C479" s="44" t="s">
        <v>1234</v>
      </c>
      <c r="D479" s="43" t="s">
        <v>1235</v>
      </c>
      <c r="E479" s="45" t="s">
        <v>82</v>
      </c>
      <c r="F479" s="46">
        <v>15504004500710</v>
      </c>
      <c r="G479" s="47" t="s">
        <v>1236</v>
      </c>
      <c r="H479" s="48">
        <v>49680</v>
      </c>
      <c r="I479" s="49">
        <v>1380</v>
      </c>
      <c r="J479" s="43" t="s">
        <v>63</v>
      </c>
      <c r="K479" s="48">
        <v>10432.799999999999</v>
      </c>
      <c r="L479" s="48">
        <v>6955.2</v>
      </c>
      <c r="M479" s="48">
        <v>11923.17</v>
      </c>
      <c r="N479" s="48">
        <f t="shared" si="14"/>
        <v>29311.17</v>
      </c>
      <c r="O479" s="50">
        <v>10000</v>
      </c>
      <c r="P479" s="48">
        <f t="shared" si="15"/>
        <v>39311.17</v>
      </c>
      <c r="Q479" s="43" t="s">
        <v>82</v>
      </c>
      <c r="R479" s="51">
        <v>44986</v>
      </c>
      <c r="S479" s="51">
        <v>45002</v>
      </c>
      <c r="T479" s="43"/>
      <c r="U479" s="43"/>
      <c r="V479" s="52"/>
      <c r="W479" s="53"/>
      <c r="X479" s="43"/>
      <c r="Z479" s="43"/>
      <c r="AA479" s="43"/>
    </row>
    <row r="480" spans="1:27">
      <c r="A480" s="44">
        <v>468</v>
      </c>
      <c r="B480" s="33" t="s">
        <v>1237</v>
      </c>
      <c r="C480" s="44" t="s">
        <v>1238</v>
      </c>
      <c r="D480" s="43">
        <v>35503</v>
      </c>
      <c r="E480" s="45" t="s">
        <v>108</v>
      </c>
      <c r="F480" s="46">
        <v>15504007703126</v>
      </c>
      <c r="G480" s="47" t="s">
        <v>109</v>
      </c>
      <c r="H480" s="48">
        <v>17110</v>
      </c>
      <c r="I480" s="49">
        <v>611</v>
      </c>
      <c r="J480" s="43" t="s">
        <v>37</v>
      </c>
      <c r="K480" s="48">
        <f>2566.5+684.4</f>
        <v>3250.9</v>
      </c>
      <c r="L480" s="48">
        <v>3250.9</v>
      </c>
      <c r="M480" s="48">
        <f>3695.7+807.58</f>
        <v>4503.28</v>
      </c>
      <c r="N480" s="48">
        <f t="shared" si="14"/>
        <v>11005.08</v>
      </c>
      <c r="O480" s="50">
        <v>10000</v>
      </c>
      <c r="P480" s="48">
        <f t="shared" si="15"/>
        <v>21005.08</v>
      </c>
      <c r="Q480" s="43" t="s">
        <v>108</v>
      </c>
      <c r="R480" s="51">
        <v>44880</v>
      </c>
      <c r="S480" s="51">
        <v>45014</v>
      </c>
      <c r="T480" s="51"/>
      <c r="U480" s="43"/>
      <c r="V480" s="52"/>
      <c r="W480" s="53">
        <v>45028</v>
      </c>
      <c r="X480" s="43"/>
      <c r="Z480" s="43" t="s">
        <v>54</v>
      </c>
      <c r="AA480" s="51">
        <v>45062</v>
      </c>
    </row>
    <row r="481" spans="1:27">
      <c r="A481" s="43">
        <v>469</v>
      </c>
      <c r="B481" s="33" t="s">
        <v>1239</v>
      </c>
      <c r="C481" s="44" t="s">
        <v>1240</v>
      </c>
      <c r="D481" s="43" t="s">
        <v>1241</v>
      </c>
      <c r="E481" s="45" t="s">
        <v>307</v>
      </c>
      <c r="F481" s="46">
        <v>15504006602001</v>
      </c>
      <c r="G481" s="47" t="s">
        <v>47</v>
      </c>
      <c r="H481" s="48">
        <v>52230</v>
      </c>
      <c r="I481" s="49">
        <v>637</v>
      </c>
      <c r="J481" s="43" t="s">
        <v>37</v>
      </c>
      <c r="K481" s="48">
        <v>9923.7000000000007</v>
      </c>
      <c r="L481" s="48">
        <v>9923.7000000000007</v>
      </c>
      <c r="M481" s="48">
        <v>13747.06</v>
      </c>
      <c r="N481" s="48">
        <f t="shared" si="14"/>
        <v>33594.46</v>
      </c>
      <c r="O481" s="50">
        <v>10000</v>
      </c>
      <c r="P481" s="48">
        <f t="shared" si="15"/>
        <v>43594.46</v>
      </c>
      <c r="Q481" s="43" t="s">
        <v>307</v>
      </c>
      <c r="R481" s="51">
        <v>44879</v>
      </c>
      <c r="S481" s="51"/>
      <c r="T481" s="51"/>
      <c r="U481" s="43"/>
      <c r="V481" s="52"/>
      <c r="W481" s="53"/>
      <c r="X481" s="43"/>
      <c r="Y481" s="55" t="s">
        <v>54</v>
      </c>
      <c r="Z481" s="43"/>
      <c r="AA481" s="43"/>
    </row>
    <row r="482" spans="1:27">
      <c r="A482" s="44">
        <v>470</v>
      </c>
      <c r="B482" s="33" t="s">
        <v>1239</v>
      </c>
      <c r="C482" s="44" t="s">
        <v>1242</v>
      </c>
      <c r="D482" s="43" t="s">
        <v>1243</v>
      </c>
      <c r="E482" s="45" t="s">
        <v>307</v>
      </c>
      <c r="F482" s="46">
        <v>15504006602002</v>
      </c>
      <c r="G482" s="47" t="s">
        <v>47</v>
      </c>
      <c r="H482" s="48">
        <v>456900</v>
      </c>
      <c r="I482" s="49">
        <v>5572</v>
      </c>
      <c r="J482" s="43" t="s">
        <v>37</v>
      </c>
      <c r="K482" s="48">
        <v>86811</v>
      </c>
      <c r="L482" s="48">
        <v>86811</v>
      </c>
      <c r="M482" s="48">
        <v>120621.6</v>
      </c>
      <c r="N482" s="48">
        <f t="shared" si="14"/>
        <v>294243.59999999998</v>
      </c>
      <c r="O482" s="50">
        <v>10000</v>
      </c>
      <c r="P482" s="48">
        <f t="shared" si="15"/>
        <v>304243.59999999998</v>
      </c>
      <c r="Q482" s="43" t="s">
        <v>307</v>
      </c>
      <c r="R482" s="51">
        <v>44879</v>
      </c>
      <c r="S482" s="51"/>
      <c r="T482" s="51"/>
      <c r="U482" s="43"/>
      <c r="V482" s="52"/>
      <c r="W482" s="53"/>
      <c r="X482" s="43"/>
      <c r="Y482" s="55" t="s">
        <v>54</v>
      </c>
      <c r="Z482" s="43"/>
      <c r="AA482" s="43"/>
    </row>
    <row r="483" spans="1:27">
      <c r="A483" s="44">
        <v>471</v>
      </c>
      <c r="B483" s="33" t="s">
        <v>1239</v>
      </c>
      <c r="C483" s="44" t="s">
        <v>1244</v>
      </c>
      <c r="D483" s="43" t="s">
        <v>1245</v>
      </c>
      <c r="E483" s="45" t="s">
        <v>307</v>
      </c>
      <c r="F483" s="46">
        <v>15504006602004</v>
      </c>
      <c r="G483" s="47" t="s">
        <v>47</v>
      </c>
      <c r="H483" s="48">
        <v>218450</v>
      </c>
      <c r="I483" s="49">
        <v>2664</v>
      </c>
      <c r="J483" s="43" t="s">
        <v>37</v>
      </c>
      <c r="K483" s="48">
        <v>41505.5</v>
      </c>
      <c r="L483" s="48">
        <v>41505.5</v>
      </c>
      <c r="M483" s="48">
        <v>57496.04</v>
      </c>
      <c r="N483" s="48">
        <f t="shared" si="14"/>
        <v>140507.04</v>
      </c>
      <c r="O483" s="50">
        <v>10000</v>
      </c>
      <c r="P483" s="48">
        <f t="shared" si="15"/>
        <v>150507.04</v>
      </c>
      <c r="Q483" s="43" t="s">
        <v>307</v>
      </c>
      <c r="R483" s="51">
        <v>44879</v>
      </c>
      <c r="S483" s="51"/>
      <c r="T483" s="51"/>
      <c r="U483" s="43"/>
      <c r="V483" s="52"/>
      <c r="W483" s="53"/>
      <c r="X483" s="43"/>
      <c r="Y483" s="55" t="s">
        <v>54</v>
      </c>
      <c r="Z483" s="43"/>
      <c r="AA483" s="43"/>
    </row>
    <row r="484" spans="1:27">
      <c r="A484" s="43">
        <v>472</v>
      </c>
      <c r="B484" s="33" t="s">
        <v>1239</v>
      </c>
      <c r="C484" s="44" t="s">
        <v>1246</v>
      </c>
      <c r="D484" s="43" t="s">
        <v>1247</v>
      </c>
      <c r="E484" s="45" t="s">
        <v>307</v>
      </c>
      <c r="F484" s="46">
        <v>15504006602006</v>
      </c>
      <c r="G484" s="47" t="s">
        <v>68</v>
      </c>
      <c r="H484" s="48">
        <v>47310</v>
      </c>
      <c r="I484" s="49">
        <v>577</v>
      </c>
      <c r="J484" s="43" t="s">
        <v>37</v>
      </c>
      <c r="K484" s="48">
        <v>8988.9</v>
      </c>
      <c r="L484" s="48">
        <v>8988.9</v>
      </c>
      <c r="M484" s="48">
        <v>12451.92</v>
      </c>
      <c r="N484" s="48">
        <f t="shared" si="14"/>
        <v>30429.72</v>
      </c>
      <c r="O484" s="50">
        <v>10000</v>
      </c>
      <c r="P484" s="48">
        <f t="shared" si="15"/>
        <v>40429.72</v>
      </c>
      <c r="Q484" s="43" t="s">
        <v>307</v>
      </c>
      <c r="R484" s="51">
        <v>44879</v>
      </c>
      <c r="S484" s="51"/>
      <c r="T484" s="51"/>
      <c r="U484" s="43"/>
      <c r="V484" s="52"/>
      <c r="W484" s="53"/>
      <c r="X484" s="43"/>
      <c r="Y484" s="55" t="s">
        <v>54</v>
      </c>
      <c r="Z484" s="43"/>
      <c r="AA484" s="43"/>
    </row>
    <row r="485" spans="1:27">
      <c r="A485" s="44">
        <v>473</v>
      </c>
      <c r="B485" s="33" t="s">
        <v>1239</v>
      </c>
      <c r="C485" s="44" t="s">
        <v>1248</v>
      </c>
      <c r="D485" s="43" t="s">
        <v>1249</v>
      </c>
      <c r="E485" s="45" t="s">
        <v>307</v>
      </c>
      <c r="F485" s="46">
        <v>15504006602009</v>
      </c>
      <c r="G485" s="47" t="s">
        <v>47</v>
      </c>
      <c r="H485" s="48">
        <v>269940</v>
      </c>
      <c r="I485" s="49">
        <v>3292</v>
      </c>
      <c r="J485" s="43" t="s">
        <v>37</v>
      </c>
      <c r="K485" s="48">
        <v>51288.6</v>
      </c>
      <c r="L485" s="48">
        <v>51288.6</v>
      </c>
      <c r="M485" s="48">
        <v>71048.28</v>
      </c>
      <c r="N485" s="48">
        <f t="shared" si="14"/>
        <v>173625.47999999998</v>
      </c>
      <c r="O485" s="50">
        <v>10000</v>
      </c>
      <c r="P485" s="48">
        <f t="shared" si="15"/>
        <v>183625.47999999998</v>
      </c>
      <c r="Q485" s="43" t="s">
        <v>307</v>
      </c>
      <c r="R485" s="51">
        <v>44879</v>
      </c>
      <c r="S485" s="51"/>
      <c r="T485" s="51"/>
      <c r="U485" s="43"/>
      <c r="V485" s="52"/>
      <c r="W485" s="53"/>
      <c r="X485" s="43"/>
      <c r="Y485" s="55" t="s">
        <v>54</v>
      </c>
      <c r="Z485" s="43"/>
      <c r="AA485" s="43"/>
    </row>
    <row r="486" spans="1:27">
      <c r="A486" s="44">
        <v>474</v>
      </c>
      <c r="B486" s="33" t="s">
        <v>1239</v>
      </c>
      <c r="C486" s="44" t="s">
        <v>1250</v>
      </c>
      <c r="D486" s="43" t="s">
        <v>1251</v>
      </c>
      <c r="E486" s="45" t="s">
        <v>307</v>
      </c>
      <c r="F486" s="46">
        <v>15504006602008</v>
      </c>
      <c r="G486" s="47" t="s">
        <v>47</v>
      </c>
      <c r="H486" s="48">
        <v>6150</v>
      </c>
      <c r="I486" s="49">
        <v>75</v>
      </c>
      <c r="J486" s="43" t="s">
        <v>37</v>
      </c>
      <c r="K486" s="48">
        <v>1168.5</v>
      </c>
      <c r="L486" s="48">
        <v>1168.5</v>
      </c>
      <c r="M486" s="48">
        <v>1623.6</v>
      </c>
      <c r="N486" s="48">
        <f t="shared" si="14"/>
        <v>3960.6</v>
      </c>
      <c r="O486" s="50">
        <v>10000</v>
      </c>
      <c r="P486" s="48">
        <f t="shared" si="15"/>
        <v>13960.6</v>
      </c>
      <c r="Q486" s="43" t="s">
        <v>307</v>
      </c>
      <c r="R486" s="51">
        <v>44879</v>
      </c>
      <c r="S486" s="51"/>
      <c r="T486" s="51"/>
      <c r="U486" s="43"/>
      <c r="V486" s="52"/>
      <c r="W486" s="53"/>
      <c r="X486" s="43"/>
      <c r="Y486" s="55" t="s">
        <v>54</v>
      </c>
      <c r="Z486" s="43"/>
      <c r="AA486" s="43"/>
    </row>
    <row r="487" spans="1:27">
      <c r="A487" s="43">
        <v>475</v>
      </c>
      <c r="B487" s="33" t="s">
        <v>1252</v>
      </c>
      <c r="C487" s="44" t="s">
        <v>1253</v>
      </c>
      <c r="D487" s="43" t="s">
        <v>1254</v>
      </c>
      <c r="E487" s="45" t="s">
        <v>279</v>
      </c>
      <c r="F487" s="46">
        <v>15504008000409</v>
      </c>
      <c r="G487" s="47" t="s">
        <v>68</v>
      </c>
      <c r="H487" s="48">
        <v>81760</v>
      </c>
      <c r="I487" s="49">
        <v>2920</v>
      </c>
      <c r="J487" s="43" t="s">
        <v>37</v>
      </c>
      <c r="K487" s="48">
        <v>15534.4</v>
      </c>
      <c r="L487" s="48">
        <v>15534.4</v>
      </c>
      <c r="M487" s="48">
        <v>21519.16</v>
      </c>
      <c r="N487" s="48">
        <f t="shared" si="14"/>
        <v>52587.96</v>
      </c>
      <c r="O487" s="50">
        <v>10000</v>
      </c>
      <c r="P487" s="48">
        <f t="shared" si="15"/>
        <v>62587.96</v>
      </c>
      <c r="Q487" s="43" t="s">
        <v>279</v>
      </c>
      <c r="R487" s="51">
        <v>44986</v>
      </c>
      <c r="S487" s="43"/>
      <c r="T487" s="43"/>
      <c r="U487" s="43"/>
      <c r="V487" s="52"/>
      <c r="W487" s="53"/>
      <c r="X487" s="43"/>
      <c r="Z487" s="43"/>
      <c r="AA487" s="43"/>
    </row>
    <row r="488" spans="1:27">
      <c r="A488" s="44">
        <v>476</v>
      </c>
      <c r="B488" s="33" t="s">
        <v>1255</v>
      </c>
      <c r="C488" s="44" t="s">
        <v>1256</v>
      </c>
      <c r="D488" s="43" t="s">
        <v>1257</v>
      </c>
      <c r="E488" s="45" t="s">
        <v>789</v>
      </c>
      <c r="F488" s="46">
        <v>15504003403308</v>
      </c>
      <c r="G488" s="47" t="s">
        <v>47</v>
      </c>
      <c r="H488" s="48">
        <v>39120</v>
      </c>
      <c r="I488" s="49">
        <v>652</v>
      </c>
      <c r="J488" s="43" t="s">
        <v>692</v>
      </c>
      <c r="K488" s="48">
        <v>4303.2</v>
      </c>
      <c r="L488" s="48">
        <v>4303.2</v>
      </c>
      <c r="M488" s="48">
        <v>5820.98</v>
      </c>
      <c r="N488" s="48">
        <f t="shared" si="14"/>
        <v>14427.38</v>
      </c>
      <c r="O488" s="50">
        <v>10000</v>
      </c>
      <c r="P488" s="48">
        <f t="shared" si="15"/>
        <v>24427.379999999997</v>
      </c>
      <c r="Q488" s="43" t="s">
        <v>789</v>
      </c>
      <c r="R488" s="51">
        <v>44973</v>
      </c>
      <c r="S488" s="51">
        <v>45000</v>
      </c>
      <c r="T488" s="43"/>
      <c r="U488" s="43"/>
      <c r="V488" s="52"/>
      <c r="W488" s="53">
        <v>45049</v>
      </c>
      <c r="X488" s="43"/>
      <c r="Y488" s="55" t="s">
        <v>54</v>
      </c>
      <c r="Z488" s="51">
        <v>45065</v>
      </c>
      <c r="AA488" s="43"/>
    </row>
    <row r="489" spans="1:27">
      <c r="A489" s="44">
        <v>477</v>
      </c>
      <c r="B489" s="33" t="s">
        <v>1258</v>
      </c>
      <c r="C489" s="44" t="s">
        <v>1259</v>
      </c>
      <c r="D489" s="43" t="s">
        <v>1260</v>
      </c>
      <c r="E489" s="45" t="s">
        <v>289</v>
      </c>
      <c r="F489" s="46">
        <v>15504011001323</v>
      </c>
      <c r="G489" s="47" t="s">
        <v>47</v>
      </c>
      <c r="H489" s="48">
        <v>84000</v>
      </c>
      <c r="I489" s="49">
        <v>2000</v>
      </c>
      <c r="J489" s="43" t="s">
        <v>37</v>
      </c>
      <c r="K489" s="48">
        <v>15960</v>
      </c>
      <c r="L489" s="48">
        <v>15960</v>
      </c>
      <c r="M489" s="48">
        <v>22108.799999999999</v>
      </c>
      <c r="N489" s="48">
        <f t="shared" si="14"/>
        <v>54028.800000000003</v>
      </c>
      <c r="O489" s="50">
        <v>10000</v>
      </c>
      <c r="P489" s="48">
        <f t="shared" si="15"/>
        <v>64028.800000000003</v>
      </c>
      <c r="Q489" s="43" t="s">
        <v>289</v>
      </c>
      <c r="R489" s="51">
        <v>44986</v>
      </c>
      <c r="S489" s="51">
        <v>45006</v>
      </c>
      <c r="T489" s="43"/>
      <c r="U489" s="43"/>
      <c r="V489" s="52"/>
      <c r="W489" s="53">
        <v>45040</v>
      </c>
      <c r="X489" s="127"/>
      <c r="Y489" s="55" t="s">
        <v>54</v>
      </c>
      <c r="Z489" s="51">
        <v>45068</v>
      </c>
      <c r="AA489" s="43"/>
    </row>
    <row r="490" spans="1:27">
      <c r="A490" s="43">
        <v>478</v>
      </c>
      <c r="B490" s="33" t="s">
        <v>1258</v>
      </c>
      <c r="C490" s="44" t="s">
        <v>1261</v>
      </c>
      <c r="D490" s="55" t="s">
        <v>1262</v>
      </c>
      <c r="E490" s="45" t="s">
        <v>289</v>
      </c>
      <c r="F490" s="46">
        <v>15504011001322</v>
      </c>
      <c r="G490" s="47" t="s">
        <v>47</v>
      </c>
      <c r="H490" s="48">
        <v>84000</v>
      </c>
      <c r="I490" s="49">
        <v>2000</v>
      </c>
      <c r="J490" s="43" t="s">
        <v>37</v>
      </c>
      <c r="K490" s="48">
        <v>15960</v>
      </c>
      <c r="L490" s="48">
        <v>15960</v>
      </c>
      <c r="M490" s="48">
        <v>22108.799999999999</v>
      </c>
      <c r="N490" s="48">
        <f t="shared" si="14"/>
        <v>54028.800000000003</v>
      </c>
      <c r="O490" s="50">
        <v>10000</v>
      </c>
      <c r="P490" s="48">
        <f t="shared" si="15"/>
        <v>64028.800000000003</v>
      </c>
      <c r="Q490" s="43" t="s">
        <v>289</v>
      </c>
      <c r="R490" s="51">
        <v>44986</v>
      </c>
      <c r="S490" s="51">
        <v>45006</v>
      </c>
      <c r="T490" s="43"/>
      <c r="U490" s="43"/>
      <c r="V490" s="52"/>
      <c r="W490" s="53"/>
      <c r="X490" s="127"/>
      <c r="Y490" s="55" t="s">
        <v>54</v>
      </c>
      <c r="Z490" s="51">
        <v>45068</v>
      </c>
      <c r="AA490" s="43"/>
    </row>
    <row r="491" spans="1:27">
      <c r="A491" s="44">
        <v>479</v>
      </c>
      <c r="B491" s="33" t="s">
        <v>1258</v>
      </c>
      <c r="C491" s="44" t="s">
        <v>1263</v>
      </c>
      <c r="D491" s="43" t="s">
        <v>1264</v>
      </c>
      <c r="E491" s="45" t="s">
        <v>289</v>
      </c>
      <c r="F491" s="46">
        <v>15504011001319</v>
      </c>
      <c r="G491" s="47" t="s">
        <v>47</v>
      </c>
      <c r="H491" s="48">
        <v>84000</v>
      </c>
      <c r="I491" s="49">
        <v>2000</v>
      </c>
      <c r="J491" s="43" t="s">
        <v>37</v>
      </c>
      <c r="K491" s="48">
        <v>15960</v>
      </c>
      <c r="L491" s="48">
        <v>15960</v>
      </c>
      <c r="M491" s="48">
        <v>22108.799999999999</v>
      </c>
      <c r="N491" s="48">
        <f t="shared" si="14"/>
        <v>54028.800000000003</v>
      </c>
      <c r="O491" s="50">
        <v>10000</v>
      </c>
      <c r="P491" s="48">
        <f t="shared" si="15"/>
        <v>64028.800000000003</v>
      </c>
      <c r="Q491" s="43" t="s">
        <v>289</v>
      </c>
      <c r="R491" s="51">
        <v>44986</v>
      </c>
      <c r="S491" s="51">
        <v>45006</v>
      </c>
      <c r="T491" s="43"/>
      <c r="U491" s="43"/>
      <c r="V491" s="52"/>
      <c r="W491" s="53">
        <v>45040</v>
      </c>
      <c r="X491" s="127"/>
      <c r="Y491" s="55" t="s">
        <v>54</v>
      </c>
      <c r="Z491" s="51">
        <v>45068</v>
      </c>
      <c r="AA491" s="43"/>
    </row>
    <row r="492" spans="1:27">
      <c r="A492" s="44">
        <v>480</v>
      </c>
      <c r="B492" s="33" t="s">
        <v>1258</v>
      </c>
      <c r="C492" s="44" t="s">
        <v>1265</v>
      </c>
      <c r="D492" s="43" t="s">
        <v>1266</v>
      </c>
      <c r="E492" s="45" t="s">
        <v>289</v>
      </c>
      <c r="F492" s="46">
        <v>15504011001312</v>
      </c>
      <c r="G492" s="47" t="s">
        <v>47</v>
      </c>
      <c r="H492" s="48">
        <v>84000</v>
      </c>
      <c r="I492" s="49">
        <v>2000</v>
      </c>
      <c r="J492" s="43" t="s">
        <v>37</v>
      </c>
      <c r="K492" s="48">
        <v>15960</v>
      </c>
      <c r="L492" s="48">
        <v>15960</v>
      </c>
      <c r="M492" s="48">
        <v>22108.799999999999</v>
      </c>
      <c r="N492" s="48">
        <f t="shared" si="14"/>
        <v>54028.800000000003</v>
      </c>
      <c r="O492" s="50">
        <v>10000</v>
      </c>
      <c r="P492" s="48">
        <f t="shared" si="15"/>
        <v>64028.800000000003</v>
      </c>
      <c r="Q492" s="43" t="s">
        <v>289</v>
      </c>
      <c r="R492" s="51">
        <v>44986</v>
      </c>
      <c r="S492" s="51">
        <v>45006</v>
      </c>
      <c r="T492" s="43"/>
      <c r="U492" s="43"/>
      <c r="V492" s="52"/>
      <c r="W492" s="53">
        <v>45040</v>
      </c>
      <c r="X492" s="127"/>
      <c r="Y492" s="55" t="s">
        <v>54</v>
      </c>
      <c r="Z492" s="51">
        <v>45068</v>
      </c>
      <c r="AA492" s="43"/>
    </row>
    <row r="493" spans="1:27">
      <c r="A493" s="43">
        <v>481</v>
      </c>
      <c r="B493" s="33" t="s">
        <v>1258</v>
      </c>
      <c r="C493" s="44" t="s">
        <v>1267</v>
      </c>
      <c r="D493" s="43" t="s">
        <v>1268</v>
      </c>
      <c r="E493" s="45" t="s">
        <v>289</v>
      </c>
      <c r="F493" s="46">
        <v>15504011001314</v>
      </c>
      <c r="G493" s="47" t="s">
        <v>47</v>
      </c>
      <c r="H493" s="48">
        <v>187490</v>
      </c>
      <c r="I493" s="49">
        <v>4464</v>
      </c>
      <c r="J493" s="43" t="s">
        <v>169</v>
      </c>
      <c r="K493" s="48">
        <v>13124.3</v>
      </c>
      <c r="L493" s="48">
        <v>13124.3</v>
      </c>
      <c r="M493" s="48">
        <v>16949.12</v>
      </c>
      <c r="N493" s="48">
        <f t="shared" si="14"/>
        <v>43197.72</v>
      </c>
      <c r="O493" s="50">
        <v>10000</v>
      </c>
      <c r="P493" s="48">
        <f t="shared" si="15"/>
        <v>53197.72</v>
      </c>
      <c r="Q493" s="43" t="s">
        <v>289</v>
      </c>
      <c r="R493" s="51">
        <v>44986</v>
      </c>
      <c r="S493" s="51">
        <v>45006</v>
      </c>
      <c r="T493" s="43"/>
      <c r="U493" s="43"/>
      <c r="V493" s="52"/>
      <c r="W493" s="53">
        <v>45040</v>
      </c>
      <c r="X493" s="127"/>
      <c r="Y493" s="55" t="s">
        <v>1269</v>
      </c>
      <c r="Z493" s="51">
        <v>45068</v>
      </c>
      <c r="AA493" s="43"/>
    </row>
    <row r="494" spans="1:27">
      <c r="A494" s="44">
        <v>482</v>
      </c>
      <c r="B494" s="33" t="s">
        <v>1258</v>
      </c>
      <c r="C494" s="44" t="s">
        <v>1270</v>
      </c>
      <c r="D494" s="128" t="s">
        <v>1271</v>
      </c>
      <c r="E494" s="45" t="s">
        <v>289</v>
      </c>
      <c r="F494" s="46">
        <v>15504011001335</v>
      </c>
      <c r="G494" s="47" t="s">
        <v>47</v>
      </c>
      <c r="H494" s="48">
        <v>58800</v>
      </c>
      <c r="I494" s="49">
        <v>1400</v>
      </c>
      <c r="J494" s="43" t="s">
        <v>692</v>
      </c>
      <c r="K494" s="48">
        <v>7644</v>
      </c>
      <c r="L494" s="48">
        <v>7644</v>
      </c>
      <c r="M494" s="48">
        <v>10395.84</v>
      </c>
      <c r="N494" s="48">
        <f t="shared" si="14"/>
        <v>25683.84</v>
      </c>
      <c r="O494" s="50">
        <v>10000</v>
      </c>
      <c r="P494" s="48">
        <f t="shared" si="15"/>
        <v>35683.839999999997</v>
      </c>
      <c r="Q494" s="43" t="s">
        <v>289</v>
      </c>
      <c r="R494" s="51">
        <v>44986</v>
      </c>
      <c r="S494" s="51">
        <v>45006</v>
      </c>
      <c r="T494" s="43"/>
      <c r="U494" s="43"/>
      <c r="V494" s="52"/>
      <c r="W494" s="53">
        <v>45040</v>
      </c>
      <c r="X494" s="127"/>
      <c r="Y494" s="55" t="s">
        <v>54</v>
      </c>
      <c r="Z494" s="51">
        <v>45068</v>
      </c>
      <c r="AA494" s="43"/>
    </row>
    <row r="495" spans="1:27" s="67" customFormat="1">
      <c r="A495" s="44">
        <v>483</v>
      </c>
      <c r="B495" s="77" t="s">
        <v>1272</v>
      </c>
      <c r="C495" s="44" t="s">
        <v>1273</v>
      </c>
      <c r="D495" s="44" t="s">
        <v>1274</v>
      </c>
      <c r="E495" s="68" t="s">
        <v>846</v>
      </c>
      <c r="F495" s="69">
        <v>15504010000431</v>
      </c>
      <c r="G495" s="59" t="s">
        <v>68</v>
      </c>
      <c r="H495" s="60">
        <v>71230</v>
      </c>
      <c r="I495" s="61">
        <v>2544</v>
      </c>
      <c r="J495" s="44" t="s">
        <v>1275</v>
      </c>
      <c r="K495" s="60">
        <v>9972.2000000000007</v>
      </c>
      <c r="L495" s="60">
        <v>9972.2000000000007</v>
      </c>
      <c r="M495" s="60">
        <v>13676.26</v>
      </c>
      <c r="N495" s="60">
        <f t="shared" si="14"/>
        <v>33620.660000000003</v>
      </c>
      <c r="O495" s="62">
        <v>10000</v>
      </c>
      <c r="P495" s="60">
        <f t="shared" si="15"/>
        <v>43620.66</v>
      </c>
      <c r="Q495" s="44" t="s">
        <v>1276</v>
      </c>
      <c r="R495" s="63">
        <v>44971</v>
      </c>
      <c r="S495" s="44"/>
      <c r="T495" s="44"/>
      <c r="U495" s="44"/>
      <c r="V495" s="64"/>
      <c r="W495" s="65"/>
      <c r="X495" s="129"/>
      <c r="Z495" s="44"/>
      <c r="AA495" s="44"/>
    </row>
    <row r="496" spans="1:27" ht="25.5">
      <c r="A496" s="43">
        <v>484</v>
      </c>
      <c r="B496" s="33" t="s">
        <v>1277</v>
      </c>
      <c r="C496" s="44" t="s">
        <v>1278</v>
      </c>
      <c r="D496" s="43">
        <v>32030</v>
      </c>
      <c r="E496" s="45" t="s">
        <v>145</v>
      </c>
      <c r="F496" s="46">
        <v>15504003302011</v>
      </c>
      <c r="G496" s="47" t="s">
        <v>47</v>
      </c>
      <c r="H496" s="48">
        <v>6010</v>
      </c>
      <c r="I496" s="49">
        <v>143</v>
      </c>
      <c r="J496" s="43" t="s">
        <v>37</v>
      </c>
      <c r="K496" s="48">
        <v>1141.9000000000001</v>
      </c>
      <c r="L496" s="48">
        <v>1141.9000000000001</v>
      </c>
      <c r="M496" s="48">
        <v>1581.76</v>
      </c>
      <c r="N496" s="48">
        <f t="shared" si="14"/>
        <v>3865.5600000000004</v>
      </c>
      <c r="O496" s="50">
        <v>10000</v>
      </c>
      <c r="P496" s="48">
        <f t="shared" si="15"/>
        <v>13865.560000000001</v>
      </c>
      <c r="Q496" s="43" t="s">
        <v>145</v>
      </c>
      <c r="R496" s="51">
        <v>44977</v>
      </c>
      <c r="S496" s="51">
        <v>45008</v>
      </c>
      <c r="T496" s="43"/>
      <c r="U496" s="43"/>
      <c r="V496" s="52"/>
      <c r="W496" s="53">
        <v>45029</v>
      </c>
      <c r="X496" s="127"/>
      <c r="Z496" s="43" t="s">
        <v>38</v>
      </c>
      <c r="AA496" s="43"/>
    </row>
    <row r="497" spans="1:27">
      <c r="A497" s="44">
        <v>485</v>
      </c>
      <c r="B497" s="77" t="s">
        <v>1279</v>
      </c>
      <c r="C497" s="44" t="s">
        <v>1280</v>
      </c>
      <c r="D497" s="43" t="s">
        <v>1281</v>
      </c>
      <c r="E497" s="45" t="s">
        <v>307</v>
      </c>
      <c r="F497" s="46">
        <v>15504006603033</v>
      </c>
      <c r="G497" s="47" t="s">
        <v>47</v>
      </c>
      <c r="H497" s="48">
        <v>6560</v>
      </c>
      <c r="I497" s="49">
        <v>80</v>
      </c>
      <c r="J497" s="43" t="s">
        <v>315</v>
      </c>
      <c r="K497" s="48">
        <f>524.8/2</f>
        <v>262.39999999999998</v>
      </c>
      <c r="L497" s="48">
        <v>262.39999999999998</v>
      </c>
      <c r="M497" s="48">
        <v>314.88</v>
      </c>
      <c r="N497" s="48">
        <f t="shared" si="14"/>
        <v>839.68</v>
      </c>
      <c r="O497" s="50">
        <v>10000</v>
      </c>
      <c r="P497" s="48">
        <f t="shared" si="15"/>
        <v>10839.68</v>
      </c>
      <c r="Q497" s="43" t="s">
        <v>307</v>
      </c>
      <c r="R497" s="51">
        <v>44970</v>
      </c>
      <c r="S497" s="51">
        <v>45000</v>
      </c>
      <c r="T497" s="43"/>
      <c r="U497" s="43"/>
      <c r="V497" s="52"/>
      <c r="W497" s="53">
        <v>45035</v>
      </c>
      <c r="X497" s="127"/>
      <c r="Y497" s="55" t="s">
        <v>54</v>
      </c>
      <c r="Z497" s="51">
        <v>45058</v>
      </c>
      <c r="AA497" s="43"/>
    </row>
    <row r="498" spans="1:27">
      <c r="A498" s="44">
        <v>486</v>
      </c>
      <c r="B498" s="77" t="s">
        <v>1279</v>
      </c>
      <c r="C498" s="44" t="s">
        <v>1282</v>
      </c>
      <c r="D498" s="43" t="s">
        <v>1283</v>
      </c>
      <c r="E498" s="45" t="s">
        <v>307</v>
      </c>
      <c r="F498" s="46">
        <v>15504006603008</v>
      </c>
      <c r="G498" s="47" t="s">
        <v>47</v>
      </c>
      <c r="H498" s="48">
        <v>6560</v>
      </c>
      <c r="I498" s="49">
        <v>80</v>
      </c>
      <c r="J498" s="43" t="s">
        <v>692</v>
      </c>
      <c r="K498" s="48">
        <f>1705.6/2</f>
        <v>852.8</v>
      </c>
      <c r="L498" s="48">
        <v>852.8</v>
      </c>
      <c r="M498" s="48">
        <v>1165.02</v>
      </c>
      <c r="N498" s="48">
        <f t="shared" si="14"/>
        <v>2870.62</v>
      </c>
      <c r="O498" s="50">
        <v>10000</v>
      </c>
      <c r="P498" s="48">
        <f t="shared" si="15"/>
        <v>12870.619999999999</v>
      </c>
      <c r="Q498" s="43" t="s">
        <v>307</v>
      </c>
      <c r="R498" s="51">
        <v>44970</v>
      </c>
      <c r="S498" s="51">
        <v>45000</v>
      </c>
      <c r="T498" s="43"/>
      <c r="U498" s="43"/>
      <c r="V498" s="52"/>
      <c r="W498" s="53">
        <v>45035</v>
      </c>
      <c r="X498" s="130">
        <v>44994</v>
      </c>
      <c r="Y498" s="55" t="s">
        <v>54</v>
      </c>
      <c r="Z498" s="51">
        <v>45058</v>
      </c>
      <c r="AA498" s="43"/>
    </row>
    <row r="499" spans="1:27">
      <c r="A499" s="43">
        <v>487</v>
      </c>
      <c r="B499" s="77" t="s">
        <v>1279</v>
      </c>
      <c r="C499" s="44" t="s">
        <v>1284</v>
      </c>
      <c r="D499" s="43">
        <v>42923</v>
      </c>
      <c r="E499" s="45" t="s">
        <v>307</v>
      </c>
      <c r="F499" s="46">
        <v>15504006603021</v>
      </c>
      <c r="G499" s="47" t="s">
        <v>47</v>
      </c>
      <c r="H499" s="48">
        <v>6560</v>
      </c>
      <c r="I499" s="49">
        <v>80</v>
      </c>
      <c r="J499" s="43" t="s">
        <v>692</v>
      </c>
      <c r="K499" s="48">
        <v>852.8</v>
      </c>
      <c r="L499" s="48">
        <v>852.8</v>
      </c>
      <c r="M499" s="48">
        <v>1165.02</v>
      </c>
      <c r="N499" s="48">
        <f t="shared" si="14"/>
        <v>2870.62</v>
      </c>
      <c r="O499" s="50">
        <v>10000</v>
      </c>
      <c r="P499" s="48">
        <f t="shared" si="15"/>
        <v>12870.619999999999</v>
      </c>
      <c r="Q499" s="43" t="s">
        <v>307</v>
      </c>
      <c r="R499" s="51">
        <v>44970</v>
      </c>
      <c r="S499" s="51">
        <v>45000</v>
      </c>
      <c r="T499" s="43"/>
      <c r="U499" s="43"/>
      <c r="V499" s="52"/>
      <c r="W499" s="53">
        <v>45036</v>
      </c>
      <c r="X499" s="130">
        <v>44994</v>
      </c>
      <c r="Y499" s="55" t="s">
        <v>54</v>
      </c>
      <c r="Z499" s="51">
        <v>45058</v>
      </c>
      <c r="AA499" s="43"/>
    </row>
    <row r="500" spans="1:27">
      <c r="A500" s="44">
        <v>488</v>
      </c>
      <c r="B500" s="77" t="s">
        <v>1279</v>
      </c>
      <c r="C500" s="44" t="s">
        <v>1285</v>
      </c>
      <c r="D500" s="43" t="s">
        <v>1286</v>
      </c>
      <c r="E500" s="45" t="s">
        <v>307</v>
      </c>
      <c r="F500" s="46">
        <v>15504006603016</v>
      </c>
      <c r="G500" s="47" t="s">
        <v>47</v>
      </c>
      <c r="H500" s="48">
        <v>6640</v>
      </c>
      <c r="I500" s="49">
        <v>81</v>
      </c>
      <c r="J500" s="43" t="s">
        <v>199</v>
      </c>
      <c r="K500" s="48">
        <f>664/2</f>
        <v>332</v>
      </c>
      <c r="L500" s="48">
        <v>332</v>
      </c>
      <c r="M500" s="48">
        <v>414.34</v>
      </c>
      <c r="N500" s="48">
        <f t="shared" si="14"/>
        <v>1078.3399999999999</v>
      </c>
      <c r="O500" s="50">
        <v>10000</v>
      </c>
      <c r="P500" s="48">
        <f t="shared" si="15"/>
        <v>11078.34</v>
      </c>
      <c r="Q500" s="43" t="s">
        <v>307</v>
      </c>
      <c r="R500" s="51">
        <v>44970</v>
      </c>
      <c r="S500" s="51">
        <v>45000</v>
      </c>
      <c r="T500" s="43"/>
      <c r="U500" s="43"/>
      <c r="V500" s="52"/>
      <c r="W500" s="53">
        <v>45036</v>
      </c>
      <c r="X500" s="130">
        <v>44994</v>
      </c>
      <c r="Y500" s="55" t="s">
        <v>54</v>
      </c>
      <c r="Z500" s="51">
        <v>45058</v>
      </c>
      <c r="AA500" s="43"/>
    </row>
    <row r="501" spans="1:27">
      <c r="A501" s="44">
        <v>489</v>
      </c>
      <c r="B501" s="77" t="s">
        <v>1279</v>
      </c>
      <c r="C501" s="44" t="s">
        <v>1287</v>
      </c>
      <c r="D501" s="43">
        <v>41458</v>
      </c>
      <c r="E501" s="45" t="s">
        <v>307</v>
      </c>
      <c r="F501" s="46">
        <v>15504006603044</v>
      </c>
      <c r="G501" s="47" t="s">
        <v>47</v>
      </c>
      <c r="H501" s="48">
        <v>6560</v>
      </c>
      <c r="I501" s="49">
        <v>80</v>
      </c>
      <c r="J501" s="43" t="s">
        <v>692</v>
      </c>
      <c r="K501" s="48">
        <f>1705.62/2</f>
        <v>852.81</v>
      </c>
      <c r="L501" s="48">
        <v>852.81</v>
      </c>
      <c r="M501" s="48">
        <v>1165.02</v>
      </c>
      <c r="N501" s="48">
        <f t="shared" si="14"/>
        <v>2870.64</v>
      </c>
      <c r="O501" s="50">
        <v>10000</v>
      </c>
      <c r="P501" s="48">
        <f t="shared" si="15"/>
        <v>12870.64</v>
      </c>
      <c r="Q501" s="43" t="s">
        <v>307</v>
      </c>
      <c r="R501" s="51">
        <v>44970</v>
      </c>
      <c r="S501" s="43"/>
      <c r="T501" s="43"/>
      <c r="U501" s="43"/>
      <c r="V501" s="52"/>
      <c r="W501" s="53">
        <v>45036</v>
      </c>
      <c r="X501" s="127"/>
      <c r="Y501" s="55" t="s">
        <v>54</v>
      </c>
      <c r="Z501" s="51">
        <v>45058</v>
      </c>
      <c r="AA501" s="43"/>
    </row>
    <row r="502" spans="1:27">
      <c r="A502" s="43">
        <v>490</v>
      </c>
      <c r="B502" s="77" t="s">
        <v>1279</v>
      </c>
      <c r="C502" s="44" t="s">
        <v>1288</v>
      </c>
      <c r="D502" s="43" t="s">
        <v>1289</v>
      </c>
      <c r="E502" s="45" t="s">
        <v>307</v>
      </c>
      <c r="F502" s="46">
        <v>15504006603031</v>
      </c>
      <c r="G502" s="47" t="s">
        <v>47</v>
      </c>
      <c r="H502" s="48">
        <v>6560</v>
      </c>
      <c r="I502" s="49">
        <v>80</v>
      </c>
      <c r="J502" s="43" t="s">
        <v>169</v>
      </c>
      <c r="K502" s="48">
        <f>918.4/2</f>
        <v>459.2</v>
      </c>
      <c r="L502" s="48">
        <v>459.2</v>
      </c>
      <c r="M502" s="48">
        <v>598.26</v>
      </c>
      <c r="N502" s="48">
        <f t="shared" si="14"/>
        <v>1516.6599999999999</v>
      </c>
      <c r="O502" s="50">
        <v>10000</v>
      </c>
      <c r="P502" s="48">
        <f t="shared" si="15"/>
        <v>11516.66</v>
      </c>
      <c r="Q502" s="43" t="s">
        <v>307</v>
      </c>
      <c r="R502" s="51">
        <v>44970</v>
      </c>
      <c r="S502" s="51">
        <v>45000</v>
      </c>
      <c r="T502" s="43"/>
      <c r="U502" s="43"/>
      <c r="V502" s="52"/>
      <c r="W502" s="53">
        <v>45035</v>
      </c>
      <c r="X502" s="127"/>
      <c r="Y502" s="55" t="s">
        <v>54</v>
      </c>
      <c r="Z502" s="51">
        <v>45058</v>
      </c>
      <c r="AA502" s="43"/>
    </row>
    <row r="503" spans="1:27">
      <c r="A503" s="44">
        <v>491</v>
      </c>
      <c r="B503" s="77" t="s">
        <v>1279</v>
      </c>
      <c r="C503" s="44" t="s">
        <v>1290</v>
      </c>
      <c r="D503" s="43" t="s">
        <v>1291</v>
      </c>
      <c r="E503" s="45" t="s">
        <v>307</v>
      </c>
      <c r="F503" s="46">
        <v>15504006603049</v>
      </c>
      <c r="G503" s="47" t="s">
        <v>68</v>
      </c>
      <c r="H503" s="48">
        <v>80690</v>
      </c>
      <c r="I503" s="49">
        <v>984</v>
      </c>
      <c r="J503" s="43" t="s">
        <v>92</v>
      </c>
      <c r="K503" s="48">
        <f>9682.8/2</f>
        <v>4841.3999999999996</v>
      </c>
      <c r="L503" s="48">
        <v>4841.3999999999996</v>
      </c>
      <c r="M503" s="48">
        <v>6197</v>
      </c>
      <c r="N503" s="48">
        <f t="shared" si="14"/>
        <v>15879.8</v>
      </c>
      <c r="O503" s="50">
        <v>10000</v>
      </c>
      <c r="P503" s="48">
        <f t="shared" si="15"/>
        <v>25879.8</v>
      </c>
      <c r="Q503" s="43" t="s">
        <v>307</v>
      </c>
      <c r="R503" s="51">
        <v>44970</v>
      </c>
      <c r="S503" s="51">
        <v>3</v>
      </c>
      <c r="T503" s="43"/>
      <c r="U503" s="43"/>
      <c r="V503" s="52"/>
      <c r="W503" s="53">
        <v>45035</v>
      </c>
      <c r="X503" s="130">
        <v>44994</v>
      </c>
      <c r="Y503" s="55" t="s">
        <v>54</v>
      </c>
      <c r="Z503" s="51">
        <v>45058</v>
      </c>
      <c r="AA503" s="43"/>
    </row>
    <row r="504" spans="1:27" ht="38.25">
      <c r="A504" s="44">
        <v>492</v>
      </c>
      <c r="B504" s="77" t="s">
        <v>1279</v>
      </c>
      <c r="C504" s="44" t="s">
        <v>1292</v>
      </c>
      <c r="D504" s="43" t="s">
        <v>1293</v>
      </c>
      <c r="E504" s="45" t="s">
        <v>307</v>
      </c>
      <c r="F504" s="46">
        <v>15504006603035</v>
      </c>
      <c r="G504" s="47" t="s">
        <v>1294</v>
      </c>
      <c r="H504" s="48">
        <v>26240</v>
      </c>
      <c r="I504" s="49">
        <v>320</v>
      </c>
      <c r="J504" s="43" t="s">
        <v>92</v>
      </c>
      <c r="K504" s="48">
        <f>3148.88/2</f>
        <v>1574.44</v>
      </c>
      <c r="L504" s="48">
        <v>1574.44</v>
      </c>
      <c r="M504" s="48">
        <v>2015.24</v>
      </c>
      <c r="N504" s="48">
        <f t="shared" si="14"/>
        <v>5164.12</v>
      </c>
      <c r="O504" s="50">
        <v>10000</v>
      </c>
      <c r="P504" s="48">
        <f t="shared" si="15"/>
        <v>15164.119999999999</v>
      </c>
      <c r="Q504" s="43" t="s">
        <v>307</v>
      </c>
      <c r="R504" s="51">
        <v>44970</v>
      </c>
      <c r="S504" s="51">
        <v>45000</v>
      </c>
      <c r="T504" s="43"/>
      <c r="U504" s="43"/>
      <c r="V504" s="52"/>
      <c r="W504" s="53">
        <v>45035</v>
      </c>
      <c r="X504" s="130">
        <v>44994</v>
      </c>
      <c r="Y504" s="55" t="s">
        <v>54</v>
      </c>
      <c r="Z504" s="51">
        <v>45058</v>
      </c>
      <c r="AA504" s="43"/>
    </row>
    <row r="505" spans="1:27">
      <c r="A505" s="43">
        <v>493</v>
      </c>
      <c r="B505" s="77" t="s">
        <v>1279</v>
      </c>
      <c r="C505" s="44" t="s">
        <v>1295</v>
      </c>
      <c r="D505" s="82" t="s">
        <v>1296</v>
      </c>
      <c r="E505" s="45" t="s">
        <v>307</v>
      </c>
      <c r="F505" s="46">
        <v>15504006602950</v>
      </c>
      <c r="G505" s="47" t="s">
        <v>68</v>
      </c>
      <c r="H505" s="48">
        <v>82740</v>
      </c>
      <c r="I505" s="49">
        <v>1009</v>
      </c>
      <c r="J505" s="43" t="s">
        <v>92</v>
      </c>
      <c r="K505" s="48">
        <f>9928.8/2</f>
        <v>4964.3999999999996</v>
      </c>
      <c r="L505" s="48">
        <v>4964.3999999999996</v>
      </c>
      <c r="M505" s="48">
        <v>6354.44</v>
      </c>
      <c r="N505" s="48">
        <f t="shared" si="14"/>
        <v>16283.239999999998</v>
      </c>
      <c r="O505" s="50">
        <v>10000</v>
      </c>
      <c r="P505" s="48">
        <f t="shared" si="15"/>
        <v>26283.239999999998</v>
      </c>
      <c r="Q505" s="43" t="s">
        <v>307</v>
      </c>
      <c r="R505" s="51">
        <v>44970</v>
      </c>
      <c r="S505" s="51">
        <v>45000</v>
      </c>
      <c r="T505" s="43"/>
      <c r="U505" s="43"/>
      <c r="V505" s="52"/>
      <c r="W505" s="53">
        <v>45035</v>
      </c>
      <c r="X505" s="130">
        <v>44994</v>
      </c>
      <c r="Y505" s="55" t="s">
        <v>54</v>
      </c>
      <c r="Z505" s="51">
        <v>45058</v>
      </c>
      <c r="AA505" s="43"/>
    </row>
    <row r="506" spans="1:27">
      <c r="A506" s="44">
        <v>494</v>
      </c>
      <c r="B506" s="33" t="s">
        <v>1297</v>
      </c>
      <c r="C506" s="44" t="s">
        <v>1298</v>
      </c>
      <c r="D506" s="117" t="s">
        <v>1299</v>
      </c>
      <c r="E506" s="45" t="s">
        <v>46</v>
      </c>
      <c r="F506" s="46">
        <v>15504007602278</v>
      </c>
      <c r="G506" s="47" t="s">
        <v>109</v>
      </c>
      <c r="H506" s="48">
        <v>3380</v>
      </c>
      <c r="I506" s="49">
        <v>47</v>
      </c>
      <c r="J506" s="43" t="s">
        <v>37</v>
      </c>
      <c r="K506" s="48">
        <f>507+135.2</f>
        <v>642.20000000000005</v>
      </c>
      <c r="L506" s="48">
        <v>642.20000000000005</v>
      </c>
      <c r="M506" s="48">
        <f>730.2+154.14</f>
        <v>884.34</v>
      </c>
      <c r="N506" s="48">
        <f t="shared" si="14"/>
        <v>2168.7400000000002</v>
      </c>
      <c r="O506" s="50">
        <v>10000</v>
      </c>
      <c r="P506" s="48">
        <f t="shared" si="15"/>
        <v>12168.74</v>
      </c>
      <c r="Q506" s="43" t="s">
        <v>46</v>
      </c>
      <c r="R506" s="51">
        <v>44965</v>
      </c>
      <c r="S506" s="51">
        <v>45013</v>
      </c>
      <c r="T506" s="43"/>
      <c r="U506" s="43"/>
      <c r="V506" s="52"/>
      <c r="W506" s="53">
        <v>45028</v>
      </c>
      <c r="X506" s="127"/>
      <c r="Z506" s="43" t="s">
        <v>54</v>
      </c>
      <c r="AA506" s="51">
        <v>45064</v>
      </c>
    </row>
    <row r="507" spans="1:27">
      <c r="A507" s="44">
        <v>495</v>
      </c>
      <c r="B507" s="33" t="s">
        <v>1300</v>
      </c>
      <c r="C507" s="44" t="s">
        <v>1301</v>
      </c>
      <c r="D507" s="82" t="s">
        <v>1302</v>
      </c>
      <c r="E507" s="45" t="s">
        <v>1303</v>
      </c>
      <c r="F507" s="46">
        <v>15504009401301</v>
      </c>
      <c r="G507" s="47" t="s">
        <v>36</v>
      </c>
      <c r="H507" s="48">
        <v>28640</v>
      </c>
      <c r="I507" s="49">
        <v>36371</v>
      </c>
      <c r="J507" s="43" t="s">
        <v>37</v>
      </c>
      <c r="K507" s="48">
        <v>5441.6</v>
      </c>
      <c r="L507" s="48">
        <v>5441.6</v>
      </c>
      <c r="M507" s="48">
        <v>7538.12</v>
      </c>
      <c r="N507" s="48">
        <f t="shared" si="14"/>
        <v>18421.32</v>
      </c>
      <c r="O507" s="50">
        <v>10000</v>
      </c>
      <c r="P507" s="48">
        <f t="shared" si="15"/>
        <v>28421.32</v>
      </c>
      <c r="Q507" s="43" t="s">
        <v>1303</v>
      </c>
      <c r="R507" s="51">
        <v>45002</v>
      </c>
      <c r="S507" s="51">
        <v>44880</v>
      </c>
      <c r="T507" s="51"/>
      <c r="U507" s="43"/>
      <c r="V507" s="52"/>
      <c r="W507" s="53"/>
      <c r="X507" s="127"/>
      <c r="Z507" s="43"/>
      <c r="AA507" s="43"/>
    </row>
    <row r="508" spans="1:27" s="67" customFormat="1">
      <c r="A508" s="43">
        <v>496</v>
      </c>
      <c r="B508" s="56" t="s">
        <v>1304</v>
      </c>
      <c r="C508" s="44" t="s">
        <v>1305</v>
      </c>
      <c r="D508" s="44">
        <v>49186</v>
      </c>
      <c r="E508" s="68" t="s">
        <v>82</v>
      </c>
      <c r="F508" s="69">
        <v>15504004500804</v>
      </c>
      <c r="G508" s="59" t="s">
        <v>1236</v>
      </c>
      <c r="H508" s="60">
        <v>71460</v>
      </c>
      <c r="I508" s="61">
        <v>1985</v>
      </c>
      <c r="J508" s="44" t="s">
        <v>58</v>
      </c>
      <c r="K508" s="60">
        <v>16078.5</v>
      </c>
      <c r="L508" s="60">
        <v>10719</v>
      </c>
      <c r="M508" s="60">
        <v>18365.22</v>
      </c>
      <c r="N508" s="60">
        <f t="shared" si="14"/>
        <v>45162.720000000001</v>
      </c>
      <c r="O508" s="62">
        <v>10000</v>
      </c>
      <c r="P508" s="60">
        <f t="shared" si="15"/>
        <v>55162.720000000001</v>
      </c>
      <c r="Q508" s="44" t="s">
        <v>82</v>
      </c>
      <c r="R508" s="63">
        <v>44986</v>
      </c>
      <c r="S508" s="44" t="s">
        <v>1306</v>
      </c>
      <c r="T508" s="44"/>
      <c r="U508" s="44"/>
      <c r="V508" s="64"/>
      <c r="W508" s="65"/>
      <c r="X508" s="129"/>
      <c r="Y508" s="67" t="s">
        <v>1307</v>
      </c>
      <c r="Z508" s="44"/>
      <c r="AA508" s="44"/>
    </row>
    <row r="509" spans="1:27" s="67" customFormat="1">
      <c r="A509" s="44">
        <v>497</v>
      </c>
      <c r="B509" s="56" t="s">
        <v>1308</v>
      </c>
      <c r="C509" s="44" t="s">
        <v>1309</v>
      </c>
      <c r="D509" s="44" t="s">
        <v>1310</v>
      </c>
      <c r="E509" s="68" t="s">
        <v>82</v>
      </c>
      <c r="F509" s="69">
        <v>15504004500632</v>
      </c>
      <c r="G509" s="59" t="s">
        <v>83</v>
      </c>
      <c r="H509" s="60">
        <v>97920</v>
      </c>
      <c r="I509" s="61">
        <v>2720</v>
      </c>
      <c r="J509" s="44" t="s">
        <v>1311</v>
      </c>
      <c r="K509" s="60">
        <v>22032</v>
      </c>
      <c r="L509" s="60">
        <v>14688</v>
      </c>
      <c r="M509" s="60">
        <v>25263.360000000001</v>
      </c>
      <c r="N509" s="60">
        <f t="shared" si="14"/>
        <v>61983.360000000001</v>
      </c>
      <c r="O509" s="62">
        <v>10000</v>
      </c>
      <c r="P509" s="60">
        <f t="shared" si="15"/>
        <v>71983.360000000001</v>
      </c>
      <c r="Q509" s="44" t="s">
        <v>82</v>
      </c>
      <c r="R509" s="63">
        <v>44873</v>
      </c>
      <c r="S509" s="63" t="s">
        <v>1312</v>
      </c>
      <c r="T509" s="63"/>
      <c r="U509" s="44"/>
      <c r="V509" s="64"/>
      <c r="W509" s="65">
        <v>45016</v>
      </c>
      <c r="X509" s="129"/>
      <c r="Z509" s="44" t="s">
        <v>54</v>
      </c>
      <c r="AA509" s="63">
        <v>45058</v>
      </c>
    </row>
    <row r="510" spans="1:27" s="67" customFormat="1">
      <c r="A510" s="44">
        <v>498</v>
      </c>
      <c r="B510" s="56" t="s">
        <v>1308</v>
      </c>
      <c r="C510" s="44" t="s">
        <v>1313</v>
      </c>
      <c r="D510" s="44" t="s">
        <v>1314</v>
      </c>
      <c r="E510" s="68" t="s">
        <v>82</v>
      </c>
      <c r="F510" s="69">
        <v>15504004500623</v>
      </c>
      <c r="G510" s="59" t="s">
        <v>83</v>
      </c>
      <c r="H510" s="60">
        <v>63110</v>
      </c>
      <c r="I510" s="61">
        <v>1753</v>
      </c>
      <c r="J510" s="44" t="s">
        <v>1311</v>
      </c>
      <c r="K510" s="60">
        <f>13253.11+946.66</f>
        <v>14199.77</v>
      </c>
      <c r="L510" s="60">
        <f>8835.4+631.1</f>
        <v>9466.5</v>
      </c>
      <c r="M510" s="60">
        <f>15398.86+536.43</f>
        <v>15935.29</v>
      </c>
      <c r="N510" s="60">
        <f t="shared" si="14"/>
        <v>39601.56</v>
      </c>
      <c r="O510" s="62">
        <v>10000</v>
      </c>
      <c r="P510" s="60">
        <f t="shared" si="15"/>
        <v>49601.56</v>
      </c>
      <c r="Q510" s="44" t="s">
        <v>82</v>
      </c>
      <c r="R510" s="63">
        <v>44873</v>
      </c>
      <c r="S510" s="63" t="s">
        <v>1312</v>
      </c>
      <c r="T510" s="63"/>
      <c r="U510" s="44"/>
      <c r="V510" s="64"/>
      <c r="W510" s="65">
        <v>45016</v>
      </c>
      <c r="X510" s="129"/>
      <c r="Z510" s="44" t="s">
        <v>54</v>
      </c>
      <c r="AA510" s="63">
        <v>45058</v>
      </c>
    </row>
    <row r="511" spans="1:27" s="67" customFormat="1">
      <c r="A511" s="43">
        <v>499</v>
      </c>
      <c r="B511" s="56" t="s">
        <v>1308</v>
      </c>
      <c r="C511" s="44" t="s">
        <v>1315</v>
      </c>
      <c r="D511" s="44" t="s">
        <v>1316</v>
      </c>
      <c r="E511" s="68" t="s">
        <v>82</v>
      </c>
      <c r="F511" s="69">
        <v>15504004500633</v>
      </c>
      <c r="G511" s="59" t="s">
        <v>83</v>
      </c>
      <c r="H511" s="60">
        <v>75460</v>
      </c>
      <c r="I511" s="61">
        <v>2096</v>
      </c>
      <c r="J511" s="44" t="s">
        <v>1311</v>
      </c>
      <c r="K511" s="60">
        <f>15280.65+1131.9</f>
        <v>16412.55</v>
      </c>
      <c r="L511" s="60">
        <f>10187.1+754.6</f>
        <v>10941.7</v>
      </c>
      <c r="M511" s="60">
        <f>18072.68+641.41</f>
        <v>18714.09</v>
      </c>
      <c r="N511" s="60">
        <f t="shared" si="14"/>
        <v>46068.34</v>
      </c>
      <c r="O511" s="62">
        <v>10000</v>
      </c>
      <c r="P511" s="60">
        <f t="shared" si="15"/>
        <v>56068.34</v>
      </c>
      <c r="Q511" s="44" t="s">
        <v>82</v>
      </c>
      <c r="R511" s="63">
        <v>44873</v>
      </c>
      <c r="S511" s="63" t="s">
        <v>1312</v>
      </c>
      <c r="T511" s="63"/>
      <c r="U511" s="44"/>
      <c r="V511" s="64"/>
      <c r="W511" s="65">
        <v>45016</v>
      </c>
      <c r="X511" s="129"/>
      <c r="Z511" s="44" t="s">
        <v>54</v>
      </c>
      <c r="AA511" s="63">
        <v>45058</v>
      </c>
    </row>
    <row r="512" spans="1:27">
      <c r="A512" s="44">
        <v>500</v>
      </c>
      <c r="B512" s="33" t="s">
        <v>1308</v>
      </c>
      <c r="C512" s="44" t="s">
        <v>1317</v>
      </c>
      <c r="D512" s="43" t="s">
        <v>1318</v>
      </c>
      <c r="E512" s="45" t="s">
        <v>82</v>
      </c>
      <c r="F512" s="46">
        <v>15504004500664</v>
      </c>
      <c r="G512" s="47" t="s">
        <v>293</v>
      </c>
      <c r="H512" s="48">
        <v>18000</v>
      </c>
      <c r="I512" s="49">
        <v>500</v>
      </c>
      <c r="J512" s="43" t="s">
        <v>692</v>
      </c>
      <c r="K512" s="48">
        <f>3240+270</f>
        <v>3510</v>
      </c>
      <c r="L512" s="48">
        <f>2160+180</f>
        <v>2340</v>
      </c>
      <c r="M512" s="48">
        <f>3825+153</f>
        <v>3978</v>
      </c>
      <c r="N512" s="48">
        <f t="shared" si="14"/>
        <v>9828</v>
      </c>
      <c r="O512" s="50">
        <v>10000</v>
      </c>
      <c r="P512" s="48">
        <f t="shared" si="15"/>
        <v>19828</v>
      </c>
      <c r="Q512" s="43" t="s">
        <v>82</v>
      </c>
      <c r="R512" s="51">
        <v>44873</v>
      </c>
      <c r="S512" s="51" t="s">
        <v>1312</v>
      </c>
      <c r="T512" s="51"/>
      <c r="U512" s="43"/>
      <c r="V512" s="52"/>
      <c r="W512" s="53">
        <v>45016</v>
      </c>
      <c r="X512" s="127"/>
      <c r="Z512" s="43" t="s">
        <v>54</v>
      </c>
      <c r="AA512" s="51">
        <v>45058</v>
      </c>
    </row>
    <row r="513" spans="1:52">
      <c r="A513" s="44">
        <v>501</v>
      </c>
      <c r="B513" s="33" t="s">
        <v>1308</v>
      </c>
      <c r="C513" s="44" t="s">
        <v>1319</v>
      </c>
      <c r="D513" s="43" t="s">
        <v>1320</v>
      </c>
      <c r="E513" s="45" t="s">
        <v>82</v>
      </c>
      <c r="F513" s="46">
        <v>15504004500663</v>
      </c>
      <c r="G513" s="47" t="s">
        <v>293</v>
      </c>
      <c r="H513" s="48">
        <v>18000</v>
      </c>
      <c r="I513" s="49">
        <v>500</v>
      </c>
      <c r="J513" s="43" t="s">
        <v>692</v>
      </c>
      <c r="K513" s="48">
        <f>3240+270</f>
        <v>3510</v>
      </c>
      <c r="L513" s="48">
        <f>2160+180</f>
        <v>2340</v>
      </c>
      <c r="M513" s="48">
        <f>3825+153</f>
        <v>3978</v>
      </c>
      <c r="N513" s="48">
        <f t="shared" si="14"/>
        <v>9828</v>
      </c>
      <c r="O513" s="50">
        <v>10000</v>
      </c>
      <c r="P513" s="48">
        <f t="shared" si="15"/>
        <v>19828</v>
      </c>
      <c r="Q513" s="43" t="s">
        <v>82</v>
      </c>
      <c r="R513" s="51">
        <v>44873</v>
      </c>
      <c r="S513" s="51" t="s">
        <v>1312</v>
      </c>
      <c r="T513" s="51"/>
      <c r="U513" s="43"/>
      <c r="V513" s="52"/>
      <c r="W513" s="53">
        <v>45016</v>
      </c>
      <c r="X513" s="127"/>
      <c r="Z513" s="43" t="s">
        <v>54</v>
      </c>
      <c r="AA513" s="51">
        <v>45058</v>
      </c>
    </row>
    <row r="514" spans="1:52">
      <c r="A514" s="43">
        <v>502</v>
      </c>
      <c r="B514" s="33" t="s">
        <v>1321</v>
      </c>
      <c r="C514" s="44" t="s">
        <v>1322</v>
      </c>
      <c r="D514" s="43"/>
      <c r="E514" s="45" t="s">
        <v>1095</v>
      </c>
      <c r="F514" s="46">
        <v>15504002700211</v>
      </c>
      <c r="G514" s="47" t="s">
        <v>1323</v>
      </c>
      <c r="H514" s="48">
        <v>22850</v>
      </c>
      <c r="I514" s="49"/>
      <c r="J514" s="43" t="s">
        <v>37</v>
      </c>
      <c r="K514" s="48">
        <v>4341.5</v>
      </c>
      <c r="L514" s="48">
        <v>4341.5</v>
      </c>
      <c r="M514" s="48">
        <v>6014.12</v>
      </c>
      <c r="N514" s="48">
        <f t="shared" si="14"/>
        <v>14697.119999999999</v>
      </c>
      <c r="O514" s="50">
        <v>10000</v>
      </c>
      <c r="P514" s="48">
        <f t="shared" si="15"/>
        <v>24697.119999999999</v>
      </c>
      <c r="Q514" s="43" t="s">
        <v>1095</v>
      </c>
      <c r="R514" s="51">
        <v>45001</v>
      </c>
      <c r="S514" s="51">
        <v>44874</v>
      </c>
      <c r="T514" s="51"/>
      <c r="U514" s="43"/>
      <c r="V514" s="52"/>
      <c r="W514" s="53">
        <v>45041</v>
      </c>
      <c r="X514" s="127"/>
      <c r="Y514" s="55" t="s">
        <v>49</v>
      </c>
      <c r="Z514" s="51">
        <v>45061</v>
      </c>
      <c r="AA514" s="43"/>
    </row>
    <row r="515" spans="1:52">
      <c r="A515" s="44">
        <v>503</v>
      </c>
      <c r="B515" s="80" t="s">
        <v>1324</v>
      </c>
      <c r="C515" s="44" t="s">
        <v>1325</v>
      </c>
      <c r="D515" s="43" t="s">
        <v>1326</v>
      </c>
      <c r="E515" s="45" t="s">
        <v>132</v>
      </c>
      <c r="F515" s="46">
        <v>15504006500903</v>
      </c>
      <c r="G515" s="47" t="s">
        <v>36</v>
      </c>
      <c r="H515" s="48">
        <v>18510</v>
      </c>
      <c r="I515" s="49">
        <v>36461</v>
      </c>
      <c r="J515" s="43" t="s">
        <v>37</v>
      </c>
      <c r="K515" s="48">
        <v>3516.9</v>
      </c>
      <c r="L515" s="48">
        <v>3516.9</v>
      </c>
      <c r="M515" s="48">
        <v>4871.76</v>
      </c>
      <c r="N515" s="48">
        <f t="shared" si="14"/>
        <v>11905.560000000001</v>
      </c>
      <c r="O515" s="50">
        <v>10000</v>
      </c>
      <c r="P515" s="48">
        <f t="shared" si="15"/>
        <v>21905.56</v>
      </c>
      <c r="Q515" s="43" t="s">
        <v>132</v>
      </c>
      <c r="R515" s="51">
        <v>44880</v>
      </c>
      <c r="S515" s="51"/>
      <c r="T515" s="51"/>
      <c r="U515" s="43"/>
      <c r="V515" s="52"/>
      <c r="W515" s="53">
        <v>45041</v>
      </c>
      <c r="X515" s="127"/>
      <c r="Y515" s="55" t="s">
        <v>588</v>
      </c>
      <c r="Z515" s="43"/>
      <c r="AA515" s="43"/>
    </row>
    <row r="516" spans="1:52">
      <c r="A516" s="44">
        <v>504</v>
      </c>
      <c r="B516" s="33" t="s">
        <v>1327</v>
      </c>
      <c r="C516" s="44" t="s">
        <v>1328</v>
      </c>
      <c r="D516" s="43">
        <v>23548</v>
      </c>
      <c r="E516" s="45" t="s">
        <v>108</v>
      </c>
      <c r="F516" s="46">
        <v>15504007702014</v>
      </c>
      <c r="G516" s="47" t="s">
        <v>47</v>
      </c>
      <c r="H516" s="48">
        <v>40770</v>
      </c>
      <c r="I516" s="49">
        <v>1456</v>
      </c>
      <c r="J516" s="43" t="s">
        <v>37</v>
      </c>
      <c r="K516" s="48">
        <f>6115.5+1630.8</f>
        <v>7746.3</v>
      </c>
      <c r="L516" s="48">
        <v>7746.3</v>
      </c>
      <c r="M516" s="48">
        <f>8806.2+1924.34</f>
        <v>10730.54</v>
      </c>
      <c r="N516" s="48">
        <f t="shared" si="14"/>
        <v>26223.14</v>
      </c>
      <c r="O516" s="50">
        <v>10000</v>
      </c>
      <c r="P516" s="48">
        <f t="shared" si="15"/>
        <v>36223.14</v>
      </c>
      <c r="Q516" s="43" t="s">
        <v>108</v>
      </c>
      <c r="R516" s="51">
        <v>44889</v>
      </c>
      <c r="S516" s="51"/>
      <c r="T516" s="51"/>
      <c r="U516" s="43"/>
      <c r="V516" s="52"/>
      <c r="W516" s="53">
        <v>45028</v>
      </c>
      <c r="X516" s="127"/>
      <c r="Z516" s="43" t="s">
        <v>54</v>
      </c>
      <c r="AA516" s="51">
        <v>45068</v>
      </c>
    </row>
    <row r="517" spans="1:52">
      <c r="A517" s="43">
        <v>505</v>
      </c>
      <c r="B517" s="33" t="s">
        <v>1329</v>
      </c>
      <c r="C517" s="44" t="s">
        <v>1330</v>
      </c>
      <c r="D517" s="43" t="s">
        <v>1331</v>
      </c>
      <c r="E517" s="45" t="s">
        <v>108</v>
      </c>
      <c r="F517" s="46">
        <v>15504007702012</v>
      </c>
      <c r="G517" s="47" t="s">
        <v>47</v>
      </c>
      <c r="H517" s="48">
        <v>32170</v>
      </c>
      <c r="I517" s="49">
        <v>1149</v>
      </c>
      <c r="J517" s="43" t="s">
        <v>37</v>
      </c>
      <c r="K517" s="48">
        <f>4825.5+1286.8</f>
        <v>6112.3</v>
      </c>
      <c r="L517" s="48">
        <v>6112.3</v>
      </c>
      <c r="M517" s="48">
        <f>6948.6+1518.42</f>
        <v>8467.02</v>
      </c>
      <c r="N517" s="48">
        <f t="shared" si="14"/>
        <v>20691.620000000003</v>
      </c>
      <c r="O517" s="50">
        <v>10000</v>
      </c>
      <c r="P517" s="48">
        <f t="shared" si="15"/>
        <v>30691.620000000003</v>
      </c>
      <c r="Q517" s="43" t="s">
        <v>108</v>
      </c>
      <c r="R517" s="51">
        <v>44889</v>
      </c>
      <c r="S517" s="51">
        <v>45013</v>
      </c>
      <c r="T517" s="51"/>
      <c r="U517" s="43"/>
      <c r="V517" s="52"/>
      <c r="W517" s="53">
        <v>45028</v>
      </c>
      <c r="X517" s="127"/>
      <c r="Z517" s="43" t="s">
        <v>54</v>
      </c>
      <c r="AA517" s="51">
        <v>45068</v>
      </c>
      <c r="AZ517" s="55">
        <v>10000</v>
      </c>
    </row>
    <row r="518" spans="1:52">
      <c r="A518" s="44">
        <v>506</v>
      </c>
      <c r="B518" s="33" t="s">
        <v>1329</v>
      </c>
      <c r="C518" s="44" t="s">
        <v>1332</v>
      </c>
      <c r="D518" s="43" t="s">
        <v>1333</v>
      </c>
      <c r="E518" s="45" t="s">
        <v>108</v>
      </c>
      <c r="F518" s="46">
        <v>15504007702013</v>
      </c>
      <c r="G518" s="47" t="s">
        <v>109</v>
      </c>
      <c r="H518" s="48">
        <v>24670</v>
      </c>
      <c r="I518" s="49">
        <v>881</v>
      </c>
      <c r="J518" s="43" t="s">
        <v>37</v>
      </c>
      <c r="K518" s="48">
        <f>3700.5+986.8</f>
        <v>4687.3</v>
      </c>
      <c r="L518" s="48">
        <v>4687.3</v>
      </c>
      <c r="M518" s="48">
        <f>5328.6+1164.42</f>
        <v>6493.02</v>
      </c>
      <c r="N518" s="48">
        <f t="shared" si="14"/>
        <v>15867.62</v>
      </c>
      <c r="O518" s="50">
        <v>10000</v>
      </c>
      <c r="P518" s="48">
        <f t="shared" si="15"/>
        <v>25867.620000000003</v>
      </c>
      <c r="Q518" s="43" t="s">
        <v>108</v>
      </c>
      <c r="R518" s="51">
        <v>44889</v>
      </c>
      <c r="S518" s="51">
        <v>45013</v>
      </c>
      <c r="T518" s="51"/>
      <c r="U518" s="43"/>
      <c r="V518" s="52"/>
      <c r="W518" s="53">
        <v>45028</v>
      </c>
      <c r="X518" s="127"/>
      <c r="Z518" s="43" t="s">
        <v>54</v>
      </c>
      <c r="AA518" s="51">
        <v>45068</v>
      </c>
    </row>
    <row r="519" spans="1:52" ht="25.5">
      <c r="A519" s="44">
        <v>507</v>
      </c>
      <c r="B519" s="33" t="s">
        <v>1334</v>
      </c>
      <c r="C519" s="44" t="s">
        <v>1335</v>
      </c>
      <c r="D519" s="43" t="s">
        <v>1336</v>
      </c>
      <c r="E519" s="45" t="s">
        <v>165</v>
      </c>
      <c r="F519" s="46">
        <v>15504002901316</v>
      </c>
      <c r="G519" s="43" t="s">
        <v>119</v>
      </c>
      <c r="H519" s="48">
        <v>13780</v>
      </c>
      <c r="I519" s="43">
        <v>328</v>
      </c>
      <c r="J519" s="43" t="s">
        <v>315</v>
      </c>
      <c r="K519" s="48">
        <v>551.20000000000005</v>
      </c>
      <c r="L519" s="48">
        <v>551.20000000000005</v>
      </c>
      <c r="M519" s="48">
        <v>661.46</v>
      </c>
      <c r="N519" s="48">
        <f t="shared" si="14"/>
        <v>1763.8600000000001</v>
      </c>
      <c r="O519" s="50">
        <v>10000</v>
      </c>
      <c r="P519" s="48">
        <f t="shared" si="15"/>
        <v>11763.86</v>
      </c>
      <c r="Q519" s="43" t="s">
        <v>165</v>
      </c>
      <c r="R519" s="51">
        <v>44959</v>
      </c>
      <c r="S519" s="51">
        <v>45006</v>
      </c>
      <c r="T519" s="43"/>
      <c r="U519" s="43"/>
      <c r="V519" s="52"/>
      <c r="W519" s="53">
        <v>45016</v>
      </c>
      <c r="X519" s="130">
        <v>44993</v>
      </c>
      <c r="Z519" s="43" t="s">
        <v>54</v>
      </c>
      <c r="AA519" s="43"/>
    </row>
    <row r="520" spans="1:52">
      <c r="A520" s="43">
        <v>508</v>
      </c>
      <c r="B520" s="33" t="s">
        <v>1337</v>
      </c>
      <c r="C520" s="44" t="s">
        <v>1338</v>
      </c>
      <c r="D520" s="43">
        <v>26976</v>
      </c>
      <c r="E520" s="45" t="s">
        <v>222</v>
      </c>
      <c r="F520" s="46">
        <v>15504004800509</v>
      </c>
      <c r="G520" s="47" t="s">
        <v>36</v>
      </c>
      <c r="H520" s="48">
        <v>1990</v>
      </c>
      <c r="I520" s="49">
        <v>2500</v>
      </c>
      <c r="J520" s="43" t="s">
        <v>37</v>
      </c>
      <c r="K520" s="48">
        <v>378.1</v>
      </c>
      <c r="L520" s="48">
        <v>378.1</v>
      </c>
      <c r="M520" s="48">
        <v>523.84</v>
      </c>
      <c r="N520" s="48">
        <f t="shared" si="14"/>
        <v>1280.04</v>
      </c>
      <c r="O520" s="50">
        <v>10000</v>
      </c>
      <c r="P520" s="48">
        <f t="shared" si="15"/>
        <v>11280.04</v>
      </c>
      <c r="Q520" s="43" t="s">
        <v>222</v>
      </c>
      <c r="R520" s="51">
        <v>44984</v>
      </c>
      <c r="S520" s="51">
        <v>45009</v>
      </c>
      <c r="T520" s="43"/>
      <c r="U520" s="43"/>
      <c r="V520" s="52"/>
      <c r="W520" s="53">
        <v>45034</v>
      </c>
      <c r="X520" s="127"/>
      <c r="Y520" s="55" t="s">
        <v>54</v>
      </c>
      <c r="Z520" s="43"/>
      <c r="AA520" s="43"/>
    </row>
    <row r="521" spans="1:52">
      <c r="A521" s="44">
        <v>509</v>
      </c>
      <c r="B521" s="33" t="s">
        <v>1339</v>
      </c>
      <c r="C521" s="44" t="s">
        <v>1340</v>
      </c>
      <c r="D521" s="43">
        <v>1584</v>
      </c>
      <c r="E521" s="45" t="s">
        <v>1341</v>
      </c>
      <c r="F521" s="46">
        <v>15504001900148</v>
      </c>
      <c r="G521" s="47" t="s">
        <v>109</v>
      </c>
      <c r="H521" s="48">
        <v>34560</v>
      </c>
      <c r="I521" s="49">
        <v>326</v>
      </c>
      <c r="J521" s="43" t="s">
        <v>169</v>
      </c>
      <c r="K521" s="48">
        <v>2419.1999999999998</v>
      </c>
      <c r="L521" s="48">
        <v>2419.1999999999998</v>
      </c>
      <c r="M521" s="48">
        <v>3124.2</v>
      </c>
      <c r="N521" s="48">
        <f t="shared" si="14"/>
        <v>7962.5999999999995</v>
      </c>
      <c r="O521" s="50">
        <v>10000</v>
      </c>
      <c r="P521" s="48">
        <f t="shared" si="15"/>
        <v>17962.599999999999</v>
      </c>
      <c r="Q521" s="43" t="s">
        <v>1341</v>
      </c>
      <c r="R521" s="51">
        <v>44880</v>
      </c>
      <c r="S521" s="51">
        <v>45006</v>
      </c>
      <c r="T521" s="51"/>
      <c r="U521" s="43"/>
      <c r="V521" s="52"/>
      <c r="W521" s="53"/>
      <c r="X521" s="127"/>
      <c r="Y521" s="55" t="s">
        <v>49</v>
      </c>
      <c r="Z521" s="43"/>
      <c r="AA521" s="43"/>
    </row>
    <row r="522" spans="1:52">
      <c r="A522" s="44">
        <v>510</v>
      </c>
      <c r="B522" s="33" t="s">
        <v>1342</v>
      </c>
      <c r="C522" s="44" t="s">
        <v>1343</v>
      </c>
      <c r="D522" s="43" t="s">
        <v>1344</v>
      </c>
      <c r="E522" s="45" t="s">
        <v>723</v>
      </c>
      <c r="F522" s="46">
        <v>15504004902509</v>
      </c>
      <c r="G522" s="47" t="s">
        <v>47</v>
      </c>
      <c r="H522" s="48">
        <v>14030</v>
      </c>
      <c r="I522" s="49">
        <v>501</v>
      </c>
      <c r="J522" s="43" t="s">
        <v>37</v>
      </c>
      <c r="K522" s="48">
        <v>2665.7</v>
      </c>
      <c r="L522" s="48">
        <v>2665.7</v>
      </c>
      <c r="M522" s="48">
        <v>3692.82</v>
      </c>
      <c r="N522" s="48">
        <f t="shared" si="14"/>
        <v>9024.2199999999993</v>
      </c>
      <c r="O522" s="50">
        <v>10000</v>
      </c>
      <c r="P522" s="48">
        <f t="shared" si="15"/>
        <v>19024.22</v>
      </c>
      <c r="Q522" s="43" t="s">
        <v>723</v>
      </c>
      <c r="R522" s="51">
        <v>44880</v>
      </c>
      <c r="S522" s="51">
        <v>45013</v>
      </c>
      <c r="T522" s="51"/>
      <c r="U522" s="43"/>
      <c r="V522" s="52"/>
      <c r="W522" s="53"/>
      <c r="X522" s="127"/>
      <c r="Y522" s="120" t="s">
        <v>49</v>
      </c>
      <c r="Z522" s="51">
        <v>45061</v>
      </c>
      <c r="AA522" s="43"/>
    </row>
    <row r="523" spans="1:52">
      <c r="A523" s="43">
        <v>511</v>
      </c>
      <c r="B523" s="33" t="s">
        <v>1345</v>
      </c>
      <c r="C523" s="44" t="s">
        <v>1346</v>
      </c>
      <c r="D523" s="43">
        <v>34563</v>
      </c>
      <c r="E523" s="45" t="s">
        <v>478</v>
      </c>
      <c r="F523" s="46">
        <v>15504005800711</v>
      </c>
      <c r="G523" s="47" t="s">
        <v>36</v>
      </c>
      <c r="H523" s="48">
        <v>10850</v>
      </c>
      <c r="I523" s="49">
        <v>12941</v>
      </c>
      <c r="J523" s="43" t="s">
        <v>37</v>
      </c>
      <c r="K523" s="48">
        <v>2061.5</v>
      </c>
      <c r="L523" s="48">
        <v>2061.5</v>
      </c>
      <c r="M523" s="48">
        <v>2855.72</v>
      </c>
      <c r="N523" s="48">
        <f t="shared" si="14"/>
        <v>6978.7199999999993</v>
      </c>
      <c r="O523" s="50">
        <v>10000</v>
      </c>
      <c r="P523" s="48">
        <f t="shared" si="15"/>
        <v>16978.72</v>
      </c>
      <c r="Q523" s="43" t="s">
        <v>478</v>
      </c>
      <c r="R523" s="51">
        <v>44875</v>
      </c>
      <c r="S523" s="51">
        <v>45008</v>
      </c>
      <c r="T523" s="51">
        <v>45014</v>
      </c>
      <c r="U523" s="43"/>
      <c r="V523" s="52"/>
      <c r="W523" s="53"/>
      <c r="X523" s="127"/>
      <c r="Y523" s="55" t="s">
        <v>54</v>
      </c>
      <c r="Z523" s="51">
        <v>45068</v>
      </c>
      <c r="AA523" s="43"/>
    </row>
    <row r="524" spans="1:52">
      <c r="A524" s="44">
        <v>512</v>
      </c>
      <c r="B524" s="33" t="s">
        <v>1347</v>
      </c>
      <c r="C524" s="44" t="s">
        <v>1348</v>
      </c>
      <c r="D524" s="43" t="s">
        <v>1349</v>
      </c>
      <c r="E524" s="45" t="s">
        <v>1023</v>
      </c>
      <c r="F524" s="46">
        <v>15504003802005</v>
      </c>
      <c r="G524" s="47" t="s">
        <v>36</v>
      </c>
      <c r="H524" s="48">
        <v>2430</v>
      </c>
      <c r="I524" s="49">
        <v>4202</v>
      </c>
      <c r="J524" s="43" t="s">
        <v>37</v>
      </c>
      <c r="K524" s="48">
        <v>461.7</v>
      </c>
      <c r="L524" s="48">
        <v>461.7</v>
      </c>
      <c r="M524" s="48">
        <v>641.66</v>
      </c>
      <c r="N524" s="48">
        <f t="shared" si="14"/>
        <v>1565.06</v>
      </c>
      <c r="O524" s="50">
        <v>10000</v>
      </c>
      <c r="P524" s="48">
        <f t="shared" si="15"/>
        <v>11565.06</v>
      </c>
      <c r="Q524" s="43" t="s">
        <v>1023</v>
      </c>
      <c r="R524" s="51">
        <v>44973</v>
      </c>
      <c r="S524" s="43"/>
      <c r="T524" s="43"/>
      <c r="U524" s="43"/>
      <c r="V524" s="52"/>
      <c r="W524" s="53">
        <v>45016</v>
      </c>
      <c r="Z524" s="43" t="s">
        <v>54</v>
      </c>
      <c r="AA524" s="43"/>
    </row>
    <row r="525" spans="1:52" ht="22.5">
      <c r="A525" s="44">
        <v>513</v>
      </c>
      <c r="B525" s="80" t="s">
        <v>1350</v>
      </c>
      <c r="C525" s="44" t="s">
        <v>1351</v>
      </c>
      <c r="D525" s="43">
        <v>35426</v>
      </c>
      <c r="E525" s="45" t="s">
        <v>46</v>
      </c>
      <c r="F525" s="46">
        <v>15504007602110</v>
      </c>
      <c r="G525" s="47" t="s">
        <v>47</v>
      </c>
      <c r="H525" s="48">
        <v>3710</v>
      </c>
      <c r="I525" s="49">
        <v>51.5</v>
      </c>
      <c r="J525" s="43" t="s">
        <v>63</v>
      </c>
      <c r="K525" s="48">
        <v>519.4</v>
      </c>
      <c r="L525" s="48">
        <v>519.4</v>
      </c>
      <c r="M525" s="48">
        <v>712.28</v>
      </c>
      <c r="N525" s="48">
        <f t="shared" si="14"/>
        <v>1751.08</v>
      </c>
      <c r="O525" s="50">
        <v>10000</v>
      </c>
      <c r="P525" s="48">
        <f t="shared" si="15"/>
        <v>11751.08</v>
      </c>
      <c r="Q525" s="43" t="s">
        <v>46</v>
      </c>
      <c r="R525" s="51">
        <v>44965</v>
      </c>
      <c r="S525" s="51">
        <v>45013</v>
      </c>
      <c r="T525" s="43"/>
      <c r="U525" s="43"/>
      <c r="V525" s="52"/>
      <c r="W525" s="53">
        <v>45028</v>
      </c>
      <c r="Z525" s="43" t="s">
        <v>54</v>
      </c>
      <c r="AA525" s="51">
        <v>45062</v>
      </c>
    </row>
    <row r="526" spans="1:52">
      <c r="A526" s="43">
        <v>514</v>
      </c>
      <c r="B526" s="33" t="s">
        <v>1352</v>
      </c>
      <c r="C526" s="44" t="s">
        <v>1353</v>
      </c>
      <c r="D526" s="43">
        <v>35424</v>
      </c>
      <c r="E526" s="45" t="s">
        <v>46</v>
      </c>
      <c r="F526" s="46">
        <v>15504007602111</v>
      </c>
      <c r="G526" s="47" t="s">
        <v>47</v>
      </c>
      <c r="H526" s="48">
        <v>3710</v>
      </c>
      <c r="I526" s="49">
        <v>51.5</v>
      </c>
      <c r="J526" s="43" t="s">
        <v>315</v>
      </c>
      <c r="K526" s="48">
        <v>148.4</v>
      </c>
      <c r="L526" s="48">
        <v>148.4</v>
      </c>
      <c r="M526" s="48">
        <v>178.08</v>
      </c>
      <c r="N526" s="48">
        <f t="shared" ref="N526:N540" si="16">K526+L526+M526</f>
        <v>474.88</v>
      </c>
      <c r="O526" s="50">
        <v>10000</v>
      </c>
      <c r="P526" s="48">
        <f t="shared" ref="P526:P540" si="17">K526+L526+M526+O526</f>
        <v>10474.879999999999</v>
      </c>
      <c r="Q526" s="43" t="s">
        <v>46</v>
      </c>
      <c r="R526" s="51">
        <v>44965</v>
      </c>
      <c r="S526" s="51">
        <v>45013</v>
      </c>
      <c r="T526" s="43"/>
      <c r="U526" s="43"/>
      <c r="V526" s="52"/>
      <c r="W526" s="53">
        <v>45028</v>
      </c>
      <c r="Z526" s="43" t="s">
        <v>54</v>
      </c>
      <c r="AA526" s="51">
        <v>45062</v>
      </c>
    </row>
    <row r="527" spans="1:52">
      <c r="A527" s="44">
        <v>515</v>
      </c>
      <c r="B527" s="33" t="s">
        <v>1354</v>
      </c>
      <c r="C527" s="44" t="s">
        <v>1355</v>
      </c>
      <c r="D527" s="43"/>
      <c r="E527" s="45" t="s">
        <v>46</v>
      </c>
      <c r="F527" s="46">
        <v>15504007601801</v>
      </c>
      <c r="G527" s="47" t="s">
        <v>157</v>
      </c>
      <c r="H527" s="48">
        <v>19500</v>
      </c>
      <c r="I527" s="49"/>
      <c r="J527" s="43" t="s">
        <v>315</v>
      </c>
      <c r="K527" s="48">
        <v>780</v>
      </c>
      <c r="L527" s="48">
        <v>780</v>
      </c>
      <c r="M527" s="48">
        <v>936</v>
      </c>
      <c r="N527" s="48">
        <f t="shared" si="16"/>
        <v>2496</v>
      </c>
      <c r="O527" s="50">
        <v>10000</v>
      </c>
      <c r="P527" s="48">
        <f t="shared" si="17"/>
        <v>12496</v>
      </c>
      <c r="Q527" s="43" t="s">
        <v>46</v>
      </c>
      <c r="R527" s="51">
        <v>44965</v>
      </c>
      <c r="S527" s="51">
        <v>45006</v>
      </c>
      <c r="T527" s="43"/>
      <c r="U527" s="43"/>
      <c r="V527" s="52"/>
      <c r="W527" s="53">
        <v>45029</v>
      </c>
      <c r="Z527" s="43" t="s">
        <v>54</v>
      </c>
      <c r="AA527" s="51">
        <v>45064</v>
      </c>
    </row>
    <row r="528" spans="1:52" s="67" customFormat="1">
      <c r="A528" s="44">
        <v>516</v>
      </c>
      <c r="B528" s="56" t="s">
        <v>1356</v>
      </c>
      <c r="C528" s="44" t="s">
        <v>1357</v>
      </c>
      <c r="D528" s="44" t="s">
        <v>1358</v>
      </c>
      <c r="E528" s="68" t="s">
        <v>1359</v>
      </c>
      <c r="F528" s="69">
        <v>15504001700102</v>
      </c>
      <c r="G528" s="59" t="s">
        <v>625</v>
      </c>
      <c r="H528" s="60">
        <v>10490</v>
      </c>
      <c r="I528" s="61">
        <v>61</v>
      </c>
      <c r="J528" s="44" t="s">
        <v>37</v>
      </c>
      <c r="K528" s="60">
        <v>1993.1</v>
      </c>
      <c r="L528" s="60">
        <v>1993.1</v>
      </c>
      <c r="M528" s="60">
        <v>2761.04</v>
      </c>
      <c r="N528" s="60">
        <f t="shared" si="16"/>
        <v>6747.24</v>
      </c>
      <c r="O528" s="62">
        <v>10000</v>
      </c>
      <c r="P528" s="60">
        <f t="shared" si="17"/>
        <v>16747.239999999998</v>
      </c>
      <c r="Q528" s="44" t="s">
        <v>1359</v>
      </c>
      <c r="R528" s="63">
        <v>44879</v>
      </c>
      <c r="S528" s="63">
        <v>45006</v>
      </c>
      <c r="T528" s="63"/>
      <c r="U528" s="44"/>
      <c r="V528" s="64"/>
      <c r="W528" s="65">
        <v>45041</v>
      </c>
      <c r="Y528" s="67" t="s">
        <v>49</v>
      </c>
      <c r="Z528" s="63">
        <v>45063</v>
      </c>
      <c r="AA528" s="44"/>
    </row>
    <row r="529" spans="1:27">
      <c r="A529" s="43">
        <v>517</v>
      </c>
      <c r="B529" s="80" t="s">
        <v>1360</v>
      </c>
      <c r="C529" s="44" t="s">
        <v>1361</v>
      </c>
      <c r="D529" s="43" t="s">
        <v>1362</v>
      </c>
      <c r="E529" s="45" t="s">
        <v>46</v>
      </c>
      <c r="F529" s="46">
        <v>15504007602136</v>
      </c>
      <c r="G529" s="47" t="s">
        <v>47</v>
      </c>
      <c r="H529" s="48">
        <v>24770</v>
      </c>
      <c r="I529" s="49">
        <v>688</v>
      </c>
      <c r="J529" s="43" t="s">
        <v>74</v>
      </c>
      <c r="K529" s="48">
        <v>2724.7</v>
      </c>
      <c r="L529" s="48">
        <v>2724.7</v>
      </c>
      <c r="M529" s="48"/>
      <c r="N529" s="48">
        <f t="shared" si="16"/>
        <v>5449.4</v>
      </c>
      <c r="O529" s="50">
        <v>10000</v>
      </c>
      <c r="P529" s="48">
        <f t="shared" si="17"/>
        <v>15449.4</v>
      </c>
      <c r="Q529" s="43" t="s">
        <v>46</v>
      </c>
      <c r="R529" s="51">
        <v>44965</v>
      </c>
      <c r="S529" s="51">
        <v>45009</v>
      </c>
      <c r="T529" s="43"/>
      <c r="U529" s="43"/>
      <c r="V529" s="52"/>
      <c r="W529" s="53"/>
      <c r="Y529" s="55" t="s">
        <v>54</v>
      </c>
      <c r="Z529" s="43"/>
      <c r="AA529" s="43"/>
    </row>
    <row r="530" spans="1:27">
      <c r="A530" s="44">
        <v>518</v>
      </c>
      <c r="B530" s="33" t="s">
        <v>1363</v>
      </c>
      <c r="C530" s="44" t="s">
        <v>1364</v>
      </c>
      <c r="D530" s="43" t="s">
        <v>495</v>
      </c>
      <c r="E530" s="45" t="s">
        <v>398</v>
      </c>
      <c r="F530" s="46">
        <v>15504006101011</v>
      </c>
      <c r="G530" s="47" t="s">
        <v>36</v>
      </c>
      <c r="H530" s="48">
        <v>20900</v>
      </c>
      <c r="I530" s="49">
        <v>46835</v>
      </c>
      <c r="J530" s="43" t="s">
        <v>37</v>
      </c>
      <c r="K530" s="48">
        <v>3971</v>
      </c>
      <c r="L530" s="48">
        <v>3971</v>
      </c>
      <c r="M530" s="48">
        <v>5517.6</v>
      </c>
      <c r="N530" s="48">
        <f t="shared" si="16"/>
        <v>13459.6</v>
      </c>
      <c r="O530" s="50">
        <v>10000</v>
      </c>
      <c r="P530" s="48">
        <f t="shared" si="17"/>
        <v>23459.599999999999</v>
      </c>
      <c r="Q530" s="43" t="s">
        <v>398</v>
      </c>
      <c r="R530" s="51">
        <v>44890</v>
      </c>
      <c r="S530" s="51">
        <v>45015</v>
      </c>
      <c r="T530" s="43"/>
      <c r="U530" s="43"/>
      <c r="V530" s="52"/>
      <c r="W530" s="53">
        <v>45034</v>
      </c>
      <c r="Y530" s="55" t="s">
        <v>54</v>
      </c>
      <c r="Z530" s="51">
        <v>45070</v>
      </c>
      <c r="AA530" s="43"/>
    </row>
    <row r="531" spans="1:27" s="67" customFormat="1" ht="22.5">
      <c r="A531" s="44">
        <v>519</v>
      </c>
      <c r="B531" s="56" t="s">
        <v>1365</v>
      </c>
      <c r="C531" s="44" t="s">
        <v>1366</v>
      </c>
      <c r="D531" s="44">
        <v>14705</v>
      </c>
      <c r="E531" s="68" t="s">
        <v>161</v>
      </c>
      <c r="F531" s="69">
        <v>15504004702416</v>
      </c>
      <c r="G531" s="101" t="s">
        <v>173</v>
      </c>
      <c r="H531" s="60">
        <v>51260</v>
      </c>
      <c r="I531" s="61">
        <v>298</v>
      </c>
      <c r="J531" s="44" t="s">
        <v>37</v>
      </c>
      <c r="K531" s="78">
        <f>7689+2056.4</f>
        <v>9745.4</v>
      </c>
      <c r="L531" s="78">
        <v>9745.4</v>
      </c>
      <c r="M531" s="78">
        <f>11072.1+2460.48</f>
        <v>13532.58</v>
      </c>
      <c r="N531" s="60">
        <f t="shared" si="16"/>
        <v>33023.379999999997</v>
      </c>
      <c r="O531" s="62">
        <v>10000</v>
      </c>
      <c r="P531" s="60">
        <f t="shared" si="17"/>
        <v>43023.38</v>
      </c>
      <c r="Q531" s="44" t="s">
        <v>161</v>
      </c>
      <c r="R531" s="63">
        <v>44879</v>
      </c>
      <c r="S531" s="63">
        <v>45013</v>
      </c>
      <c r="T531" s="44"/>
      <c r="U531" s="44"/>
      <c r="V531" s="79"/>
      <c r="W531" s="63">
        <v>45028</v>
      </c>
      <c r="Z531" s="44" t="s">
        <v>54</v>
      </c>
      <c r="AA531" s="44"/>
    </row>
    <row r="532" spans="1:27">
      <c r="A532" s="43">
        <v>520</v>
      </c>
      <c r="B532" s="33" t="s">
        <v>1367</v>
      </c>
      <c r="C532" s="44" t="s">
        <v>1368</v>
      </c>
      <c r="D532" s="43">
        <v>3108</v>
      </c>
      <c r="E532" s="45" t="s">
        <v>165</v>
      </c>
      <c r="F532" s="46">
        <v>15504002900902</v>
      </c>
      <c r="G532" s="43" t="s">
        <v>36</v>
      </c>
      <c r="H532" s="48">
        <v>6950</v>
      </c>
      <c r="I532" s="43">
        <v>9232</v>
      </c>
      <c r="J532" s="43" t="s">
        <v>169</v>
      </c>
      <c r="K532" s="48"/>
      <c r="L532" s="48"/>
      <c r="M532" s="48"/>
      <c r="N532" s="48">
        <f t="shared" si="16"/>
        <v>0</v>
      </c>
      <c r="O532" s="50">
        <v>10000</v>
      </c>
      <c r="P532" s="48">
        <f t="shared" si="17"/>
        <v>10000</v>
      </c>
      <c r="Q532" s="43" t="s">
        <v>165</v>
      </c>
      <c r="R532" s="51">
        <v>44959</v>
      </c>
      <c r="S532" s="51">
        <v>45007</v>
      </c>
      <c r="T532" s="43"/>
      <c r="U532" s="43"/>
      <c r="V532" s="52"/>
      <c r="W532" s="53">
        <v>45016</v>
      </c>
      <c r="X532" s="103">
        <v>45019</v>
      </c>
      <c r="Z532" s="43" t="s">
        <v>54</v>
      </c>
      <c r="AA532" s="43"/>
    </row>
    <row r="533" spans="1:27">
      <c r="A533" s="44">
        <v>521</v>
      </c>
      <c r="B533" s="33" t="s">
        <v>1369</v>
      </c>
      <c r="C533" s="44" t="s">
        <v>1370</v>
      </c>
      <c r="D533" s="43">
        <v>20873</v>
      </c>
      <c r="E533" s="45" t="s">
        <v>46</v>
      </c>
      <c r="F533" s="46">
        <v>15504007602245</v>
      </c>
      <c r="G533" s="47" t="s">
        <v>47</v>
      </c>
      <c r="H533" s="48">
        <v>10800</v>
      </c>
      <c r="I533" s="49">
        <v>150</v>
      </c>
      <c r="J533" s="43" t="s">
        <v>63</v>
      </c>
      <c r="K533" s="48">
        <v>1512</v>
      </c>
      <c r="L533" s="48">
        <v>1512</v>
      </c>
      <c r="M533" s="48">
        <v>2073.6</v>
      </c>
      <c r="N533" s="48">
        <f t="shared" si="16"/>
        <v>5097.6000000000004</v>
      </c>
      <c r="O533" s="50">
        <v>10000</v>
      </c>
      <c r="P533" s="48">
        <f t="shared" si="17"/>
        <v>15097.6</v>
      </c>
      <c r="Q533" s="43" t="s">
        <v>46</v>
      </c>
      <c r="R533" s="51">
        <v>44965</v>
      </c>
      <c r="S533" s="51">
        <v>45013</v>
      </c>
      <c r="T533" s="43"/>
      <c r="U533" s="43"/>
      <c r="V533" s="52"/>
      <c r="W533" s="53">
        <v>45028</v>
      </c>
      <c r="Z533" s="43" t="s">
        <v>54</v>
      </c>
      <c r="AA533" s="51">
        <v>45063</v>
      </c>
    </row>
    <row r="534" spans="1:27">
      <c r="A534" s="44">
        <v>522</v>
      </c>
      <c r="B534" s="33" t="s">
        <v>1371</v>
      </c>
      <c r="C534" s="44" t="s">
        <v>1372</v>
      </c>
      <c r="D534" s="43"/>
      <c r="E534" s="45" t="s">
        <v>292</v>
      </c>
      <c r="F534" s="46">
        <v>15504004901122</v>
      </c>
      <c r="G534" s="47" t="s">
        <v>157</v>
      </c>
      <c r="H534" s="48">
        <v>74370</v>
      </c>
      <c r="I534" s="49"/>
      <c r="J534" s="43" t="s">
        <v>128</v>
      </c>
      <c r="K534" s="48">
        <v>8924.4</v>
      </c>
      <c r="L534" s="48">
        <v>8924.4</v>
      </c>
      <c r="M534" s="48">
        <v>12077.62</v>
      </c>
      <c r="N534" s="48">
        <f t="shared" si="16"/>
        <v>29926.42</v>
      </c>
      <c r="O534" s="50">
        <v>10000</v>
      </c>
      <c r="P534" s="48">
        <f t="shared" si="17"/>
        <v>39926.42</v>
      </c>
      <c r="Q534" s="43" t="s">
        <v>292</v>
      </c>
      <c r="R534" s="51">
        <v>44986</v>
      </c>
      <c r="S534" s="43"/>
      <c r="T534" s="43"/>
      <c r="U534" s="43"/>
      <c r="V534" s="52"/>
      <c r="W534" s="53"/>
      <c r="Y534" s="55" t="s">
        <v>49</v>
      </c>
      <c r="Z534" s="43"/>
      <c r="AA534" s="43"/>
    </row>
    <row r="535" spans="1:27" ht="22.5">
      <c r="A535" s="43">
        <v>523</v>
      </c>
      <c r="B535" s="33" t="s">
        <v>1373</v>
      </c>
      <c r="C535" s="44" t="s">
        <v>1374</v>
      </c>
      <c r="D535" s="43" t="s">
        <v>1375</v>
      </c>
      <c r="E535" s="45" t="s">
        <v>240</v>
      </c>
      <c r="F535" s="46">
        <v>15504003000613</v>
      </c>
      <c r="G535" s="101" t="s">
        <v>1376</v>
      </c>
      <c r="H535" s="48">
        <v>9360</v>
      </c>
      <c r="I535" s="49">
        <v>104</v>
      </c>
      <c r="J535" s="43" t="s">
        <v>37</v>
      </c>
      <c r="K535" s="48">
        <v>1778.4</v>
      </c>
      <c r="L535" s="48">
        <v>1778.4</v>
      </c>
      <c r="M535" s="48">
        <v>2470.98</v>
      </c>
      <c r="N535" s="48">
        <f t="shared" si="16"/>
        <v>6027.7800000000007</v>
      </c>
      <c r="O535" s="50">
        <v>10000</v>
      </c>
      <c r="P535" s="48">
        <f t="shared" si="17"/>
        <v>16027.78</v>
      </c>
      <c r="Q535" s="43" t="s">
        <v>240</v>
      </c>
      <c r="R535" s="43"/>
      <c r="S535" s="43"/>
      <c r="T535" s="43"/>
      <c r="U535" s="43"/>
      <c r="V535" s="52"/>
      <c r="W535" s="53"/>
      <c r="Z535" s="43"/>
      <c r="AA535" s="43"/>
    </row>
    <row r="536" spans="1:27" s="67" customFormat="1">
      <c r="A536" s="44">
        <v>524</v>
      </c>
      <c r="B536" s="56" t="s">
        <v>1377</v>
      </c>
      <c r="C536" s="44" t="s">
        <v>1378</v>
      </c>
      <c r="D536" s="44">
        <v>38647</v>
      </c>
      <c r="E536" s="68" t="s">
        <v>161</v>
      </c>
      <c r="F536" s="69">
        <v>15504004702280</v>
      </c>
      <c r="G536" s="59" t="s">
        <v>109</v>
      </c>
      <c r="H536" s="60">
        <v>54990</v>
      </c>
      <c r="I536" s="61">
        <v>611</v>
      </c>
      <c r="J536" s="44" t="s">
        <v>37</v>
      </c>
      <c r="K536" s="78">
        <f>8248.5+2199.6</f>
        <v>10448.1</v>
      </c>
      <c r="L536" s="78">
        <v>10448.1</v>
      </c>
      <c r="M536" s="78">
        <f>11877.9+2595.54</f>
        <v>14473.439999999999</v>
      </c>
      <c r="N536" s="60">
        <f t="shared" si="16"/>
        <v>35369.64</v>
      </c>
      <c r="O536" s="62">
        <v>10000</v>
      </c>
      <c r="P536" s="60">
        <f t="shared" si="17"/>
        <v>45369.64</v>
      </c>
      <c r="Q536" s="44" t="s">
        <v>161</v>
      </c>
      <c r="R536" s="63">
        <v>44879</v>
      </c>
      <c r="S536" s="63">
        <v>45008</v>
      </c>
      <c r="T536" s="44"/>
      <c r="U536" s="44"/>
      <c r="V536" s="79"/>
      <c r="W536" s="63">
        <v>45029</v>
      </c>
      <c r="Z536" s="44" t="s">
        <v>54</v>
      </c>
      <c r="AA536" s="44"/>
    </row>
    <row r="537" spans="1:27" ht="17.25" customHeight="1">
      <c r="G537" s="75"/>
      <c r="I537" s="134"/>
      <c r="K537" s="135"/>
      <c r="L537" s="135"/>
      <c r="M537" s="135"/>
      <c r="N537" s="135"/>
      <c r="O537" s="136"/>
      <c r="P537" s="135"/>
      <c r="R537" s="103"/>
      <c r="S537" s="103"/>
      <c r="T537" s="103"/>
      <c r="V537" s="137"/>
      <c r="W537" s="138"/>
    </row>
    <row r="538" spans="1:27" s="2" customFormat="1">
      <c r="A538" s="139" t="s">
        <v>1379</v>
      </c>
      <c r="B538" s="139"/>
      <c r="C538" s="139"/>
      <c r="D538" s="139"/>
      <c r="E538" s="139"/>
      <c r="F538" s="139"/>
      <c r="G538" s="139"/>
      <c r="H538" s="139"/>
      <c r="I538" s="139"/>
      <c r="J538" s="139"/>
      <c r="K538" s="139"/>
      <c r="L538" s="139"/>
      <c r="M538" s="139"/>
      <c r="N538" s="139"/>
      <c r="O538" s="139"/>
      <c r="P538" s="139"/>
      <c r="Q538" s="139"/>
    </row>
    <row r="539" spans="1:27" s="2" customFormat="1" ht="9" customHeight="1">
      <c r="A539" s="140"/>
      <c r="B539" s="141"/>
      <c r="C539" s="140"/>
      <c r="D539" s="142"/>
      <c r="E539" s="143"/>
      <c r="F539" s="140"/>
      <c r="G539" s="140"/>
      <c r="H539" s="144"/>
      <c r="I539" s="140"/>
      <c r="J539" s="140"/>
      <c r="K539" s="140"/>
      <c r="L539" s="140"/>
      <c r="M539" s="140"/>
      <c r="N539" s="140"/>
      <c r="O539" s="145"/>
      <c r="P539" s="140"/>
      <c r="Q539" s="140"/>
    </row>
    <row r="540" spans="1:27" s="2" customFormat="1" ht="9" customHeight="1">
      <c r="A540" s="140"/>
      <c r="B540" s="141"/>
      <c r="C540" s="140"/>
      <c r="D540" s="142"/>
      <c r="E540" s="143"/>
      <c r="F540" s="140"/>
      <c r="G540" s="140"/>
      <c r="H540" s="144"/>
      <c r="I540" s="140"/>
      <c r="J540" s="140"/>
      <c r="K540" s="140"/>
      <c r="L540" s="140"/>
      <c r="M540" s="140"/>
      <c r="N540" s="140"/>
      <c r="O540" s="145"/>
      <c r="P540" s="140"/>
      <c r="Q540" s="140"/>
    </row>
    <row r="541" spans="1:27" s="2" customFormat="1" ht="12.75" customHeight="1">
      <c r="A541" s="146" t="s">
        <v>1380</v>
      </c>
      <c r="B541" s="147"/>
      <c r="C541" s="147"/>
      <c r="D541" s="147"/>
      <c r="E541" s="147"/>
      <c r="F541" s="147"/>
      <c r="G541" s="147"/>
      <c r="H541" s="148"/>
      <c r="I541" s="149"/>
      <c r="J541" s="13"/>
      <c r="K541" s="13"/>
      <c r="L541" s="149"/>
      <c r="M541" s="13"/>
      <c r="N541" s="13"/>
      <c r="O541" s="18"/>
      <c r="P541" s="149"/>
      <c r="Q541" s="149"/>
    </row>
    <row r="542" spans="1:27" s="2" customFormat="1" ht="16.5" customHeight="1">
      <c r="A542" s="150" t="s">
        <v>1381</v>
      </c>
      <c r="B542" s="12"/>
      <c r="C542" s="12"/>
      <c r="D542" s="12"/>
      <c r="E542" s="12"/>
      <c r="F542" s="12"/>
      <c r="G542" s="12"/>
      <c r="H542" s="151"/>
      <c r="I542" s="149"/>
      <c r="J542" s="13"/>
      <c r="K542" s="13"/>
      <c r="L542" s="149"/>
      <c r="M542" s="13"/>
      <c r="N542" s="13"/>
      <c r="O542" s="18"/>
      <c r="P542" s="149"/>
      <c r="Q542" s="149"/>
    </row>
    <row r="543" spans="1:27" s="2" customFormat="1" ht="14.25" customHeight="1">
      <c r="A543" s="152" t="s">
        <v>1382</v>
      </c>
      <c r="B543" s="153"/>
      <c r="C543" s="153"/>
      <c r="D543" s="153"/>
      <c r="E543" s="153"/>
      <c r="F543" s="153"/>
      <c r="G543" s="153"/>
      <c r="H543" s="154"/>
      <c r="I543" s="155"/>
      <c r="J543" s="140"/>
      <c r="K543" s="140"/>
      <c r="L543" s="155"/>
      <c r="M543" s="140"/>
      <c r="N543" s="140"/>
      <c r="O543" s="145"/>
      <c r="P543" s="155"/>
      <c r="Q543" s="155"/>
    </row>
    <row r="544" spans="1:27" s="2" customFormat="1" ht="14.25" customHeight="1">
      <c r="A544" s="140"/>
      <c r="B544" s="140"/>
      <c r="C544" s="140"/>
      <c r="D544" s="140"/>
      <c r="E544" s="140"/>
      <c r="F544" s="140"/>
      <c r="G544" s="140"/>
      <c r="H544" s="140"/>
      <c r="I544" s="155"/>
      <c r="J544" s="140"/>
      <c r="K544" s="140"/>
      <c r="L544" s="155"/>
      <c r="M544" s="140"/>
      <c r="N544" s="140"/>
      <c r="O544" s="145"/>
      <c r="P544" s="155"/>
      <c r="Q544" s="155"/>
    </row>
    <row r="545" spans="1:17" s="2" customFormat="1" ht="9" customHeight="1">
      <c r="B545" s="141"/>
      <c r="D545" s="143"/>
      <c r="E545" s="143"/>
      <c r="G545" s="143"/>
      <c r="H545" s="156"/>
      <c r="I545" s="140"/>
      <c r="J545" s="140"/>
      <c r="K545" s="140"/>
      <c r="L545" s="140"/>
      <c r="M545" s="140"/>
      <c r="N545" s="140"/>
      <c r="O545" s="145"/>
      <c r="P545" s="140"/>
      <c r="Q545" s="140"/>
    </row>
    <row r="546" spans="1:17" s="2" customFormat="1" ht="12.75" customHeight="1">
      <c r="B546" s="157" t="s">
        <v>1383</v>
      </c>
      <c r="C546" s="157"/>
      <c r="D546" s="143"/>
      <c r="E546" s="143"/>
      <c r="F546" s="143"/>
      <c r="G546" s="158" t="s">
        <v>1384</v>
      </c>
      <c r="H546" s="158"/>
      <c r="I546" s="143"/>
      <c r="J546" s="143"/>
      <c r="K546" s="140"/>
      <c r="M546" s="158" t="s">
        <v>1385</v>
      </c>
      <c r="N546" s="158"/>
      <c r="O546" s="158"/>
      <c r="P546" s="158"/>
      <c r="Q546" s="140"/>
    </row>
    <row r="547" spans="1:17" s="2" customFormat="1">
      <c r="B547" s="141"/>
      <c r="K547" s="140"/>
      <c r="L547" s="159"/>
      <c r="M547" s="159"/>
      <c r="N547" s="159"/>
      <c r="O547" s="159"/>
      <c r="P547" s="140"/>
      <c r="Q547" s="140"/>
    </row>
    <row r="548" spans="1:17" s="2" customFormat="1" ht="12.75" customHeight="1">
      <c r="B548" s="160" t="s">
        <v>1386</v>
      </c>
      <c r="C548" s="160"/>
      <c r="D548" s="159"/>
      <c r="E548" s="159"/>
      <c r="F548" s="159"/>
      <c r="G548" s="160" t="s">
        <v>1387</v>
      </c>
      <c r="H548" s="160"/>
      <c r="I548" s="159"/>
      <c r="J548" s="159"/>
      <c r="M548" s="160" t="s">
        <v>1388</v>
      </c>
      <c r="N548" s="160"/>
      <c r="O548" s="160"/>
      <c r="P548" s="160"/>
      <c r="Q548" s="140"/>
    </row>
    <row r="549" spans="1:17" s="2" customFormat="1">
      <c r="B549" s="139" t="s">
        <v>1389</v>
      </c>
      <c r="C549" s="139"/>
      <c r="G549" s="139" t="s">
        <v>1390</v>
      </c>
      <c r="H549" s="139"/>
      <c r="K549" s="140"/>
      <c r="L549" s="140"/>
      <c r="M549" s="139" t="s">
        <v>1391</v>
      </c>
      <c r="N549" s="139"/>
      <c r="O549" s="139"/>
      <c r="P549" s="139"/>
      <c r="Q549" s="140"/>
    </row>
    <row r="550" spans="1:17" s="2" customFormat="1" ht="15" customHeight="1">
      <c r="B550" s="141"/>
      <c r="D550" s="143"/>
      <c r="E550" s="139" t="s">
        <v>1392</v>
      </c>
      <c r="F550" s="139"/>
      <c r="G550" s="139"/>
      <c r="H550" s="139"/>
      <c r="I550" s="139"/>
      <c r="J550" s="156"/>
      <c r="K550" s="140"/>
      <c r="L550" s="140"/>
      <c r="P550" s="140"/>
      <c r="Q550" s="140"/>
    </row>
    <row r="552" spans="1:17">
      <c r="A552" s="161"/>
      <c r="B552" s="161"/>
      <c r="C552" s="162"/>
      <c r="D552" s="162"/>
      <c r="E552" s="162"/>
      <c r="F552" s="162"/>
    </row>
    <row r="553" spans="1:17">
      <c r="C553" s="161"/>
      <c r="D553" s="161"/>
      <c r="E553" s="161"/>
      <c r="F553" s="161"/>
    </row>
    <row r="556" spans="1:17">
      <c r="G556" s="158"/>
      <c r="H556" s="158"/>
      <c r="I556" s="158"/>
      <c r="J556" s="158"/>
    </row>
    <row r="557" spans="1:17">
      <c r="G557" s="2"/>
      <c r="H557" s="2"/>
      <c r="I557" s="2"/>
      <c r="J557" s="2"/>
    </row>
    <row r="558" spans="1:17">
      <c r="G558" s="160"/>
      <c r="H558" s="160"/>
      <c r="I558" s="160"/>
      <c r="J558" s="160"/>
    </row>
    <row r="559" spans="1:17">
      <c r="G559" s="139"/>
      <c r="H559" s="139"/>
      <c r="I559" s="139"/>
      <c r="J559" s="139"/>
    </row>
    <row r="560" spans="1:17">
      <c r="G560" s="143"/>
      <c r="H560" s="2"/>
      <c r="I560" s="143"/>
      <c r="J560" s="156"/>
    </row>
  </sheetData>
  <mergeCells count="28">
    <mergeCell ref="C553:F553"/>
    <mergeCell ref="G556:J556"/>
    <mergeCell ref="G558:J558"/>
    <mergeCell ref="G559:J559"/>
    <mergeCell ref="B549:C549"/>
    <mergeCell ref="G549:H549"/>
    <mergeCell ref="M549:P549"/>
    <mergeCell ref="E550:I550"/>
    <mergeCell ref="A552:B552"/>
    <mergeCell ref="C552:F552"/>
    <mergeCell ref="B546:C546"/>
    <mergeCell ref="G546:H546"/>
    <mergeCell ref="M546:P546"/>
    <mergeCell ref="B548:C548"/>
    <mergeCell ref="G548:H548"/>
    <mergeCell ref="M548:P548"/>
    <mergeCell ref="A10:AB10"/>
    <mergeCell ref="R12:T12"/>
    <mergeCell ref="A538:Q538"/>
    <mergeCell ref="A541:H541"/>
    <mergeCell ref="A542:H542"/>
    <mergeCell ref="A543:H543"/>
    <mergeCell ref="A1:AB1"/>
    <mergeCell ref="A2:AB2"/>
    <mergeCell ref="A3:AB3"/>
    <mergeCell ref="A4:Q4"/>
    <mergeCell ref="A6:AB6"/>
    <mergeCell ref="A9:AB9"/>
  </mergeCells>
  <conditionalFormatting sqref="G121">
    <cfRule type="containsText" dxfId="1" priority="2" operator="containsText" text="NO R-">
      <formula>NOT(ISERROR(SEARCH("NO R-",G121)))</formula>
    </cfRule>
  </conditionalFormatting>
  <conditionalFormatting sqref="G121">
    <cfRule type="expression" dxfId="0" priority="1">
      <formula>OR(CELL(“col”)=COLUMN(),CELL(“row”)=ROW())</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2023-06-19T00:34:05Z</dcterms:created>
  <dcterms:modified xsi:type="dcterms:W3CDTF">2023-06-19T00:35:26Z</dcterms:modified>
</cp:coreProperties>
</file>